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5080" yWindow="0" windowWidth="32140" windowHeight="19100" activeTab="2"/>
  </bookViews>
  <sheets>
    <sheet name="БДДС" sheetId="1" r:id="rId1"/>
    <sheet name="БДР" sheetId="2" r:id="rId2"/>
    <sheet name="Окупаемость и доходность 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5" i="1"/>
  <c r="G4" i="3"/>
  <c r="H6" i="1"/>
  <c r="H5" i="1"/>
  <c r="H4" i="3"/>
  <c r="I6" i="1"/>
  <c r="I5" i="1"/>
  <c r="I4" i="3"/>
  <c r="J6" i="1"/>
  <c r="J5" i="1"/>
  <c r="J4" i="3"/>
  <c r="K6" i="1"/>
  <c r="K5" i="1"/>
  <c r="K4" i="3"/>
  <c r="L6" i="1"/>
  <c r="L5" i="1"/>
  <c r="L4" i="3"/>
  <c r="M6" i="1"/>
  <c r="M5" i="1"/>
  <c r="M4" i="3"/>
  <c r="N6" i="1"/>
  <c r="N5" i="1"/>
  <c r="N4" i="3"/>
  <c r="O6" i="1"/>
  <c r="O5" i="1"/>
  <c r="O4" i="3"/>
  <c r="P4" i="3"/>
  <c r="Q4" i="3"/>
  <c r="Q5" i="3"/>
  <c r="G8" i="1"/>
  <c r="G6" i="3"/>
  <c r="H8" i="1"/>
  <c r="H6" i="3"/>
  <c r="I8" i="1"/>
  <c r="I6" i="3"/>
  <c r="J8" i="1"/>
  <c r="J6" i="3"/>
  <c r="K8" i="1"/>
  <c r="K6" i="3"/>
  <c r="L8" i="1"/>
  <c r="L6" i="3"/>
  <c r="M8" i="1"/>
  <c r="M6" i="3"/>
  <c r="N8" i="1"/>
  <c r="N6" i="3"/>
  <c r="O8" i="1"/>
  <c r="O6" i="3"/>
  <c r="P6" i="3"/>
  <c r="Q6" i="3"/>
  <c r="G12" i="1"/>
  <c r="G11" i="1"/>
  <c r="G7" i="3"/>
  <c r="H12" i="1"/>
  <c r="H11" i="1"/>
  <c r="H7" i="3"/>
  <c r="I12" i="1"/>
  <c r="I11" i="1"/>
  <c r="I7" i="3"/>
  <c r="J12" i="1"/>
  <c r="J11" i="1"/>
  <c r="J7" i="3"/>
  <c r="K12" i="1"/>
  <c r="K11" i="1"/>
  <c r="K7" i="3"/>
  <c r="L12" i="1"/>
  <c r="L11" i="1"/>
  <c r="L7" i="3"/>
  <c r="M12" i="1"/>
  <c r="M11" i="1"/>
  <c r="M7" i="3"/>
  <c r="N12" i="1"/>
  <c r="N11" i="1"/>
  <c r="N7" i="3"/>
  <c r="O12" i="1"/>
  <c r="O11" i="1"/>
  <c r="O7" i="3"/>
  <c r="P7" i="3"/>
  <c r="Q7" i="3"/>
  <c r="J37" i="1"/>
  <c r="J8" i="3"/>
  <c r="Q8" i="3"/>
  <c r="K9" i="3"/>
  <c r="L9" i="3"/>
  <c r="M9" i="3"/>
  <c r="N9" i="3"/>
  <c r="O9" i="3"/>
  <c r="P9" i="3"/>
  <c r="Q9" i="3"/>
  <c r="Q10" i="3"/>
  <c r="Q11" i="3"/>
  <c r="B21" i="1"/>
  <c r="B15" i="3"/>
  <c r="C21" i="1"/>
  <c r="C15" i="3"/>
  <c r="D21" i="1"/>
  <c r="D15" i="3"/>
  <c r="E21" i="1"/>
  <c r="E15" i="3"/>
  <c r="F21" i="1"/>
  <c r="F15" i="3"/>
  <c r="G21" i="1"/>
  <c r="G15" i="3"/>
  <c r="H21" i="1"/>
  <c r="H15" i="3"/>
  <c r="I21" i="1"/>
  <c r="I15" i="3"/>
  <c r="J30" i="1"/>
  <c r="J15" i="3"/>
  <c r="Q15" i="3"/>
  <c r="Q35" i="3"/>
  <c r="B12" i="2"/>
  <c r="B11" i="2"/>
  <c r="B10" i="2"/>
  <c r="B3" i="2"/>
  <c r="B2" i="2"/>
  <c r="B6" i="2"/>
  <c r="B7" i="2"/>
  <c r="B5" i="2"/>
  <c r="B8" i="2"/>
  <c r="B13" i="2"/>
  <c r="B14" i="2"/>
  <c r="B19" i="2"/>
  <c r="B23" i="2"/>
  <c r="B24" i="2"/>
  <c r="H12" i="2"/>
  <c r="H11" i="2"/>
  <c r="H10" i="2"/>
  <c r="H3" i="2"/>
  <c r="H2" i="2"/>
  <c r="H6" i="2"/>
  <c r="H7" i="2"/>
  <c r="H5" i="2"/>
  <c r="H8" i="2"/>
  <c r="H13" i="2"/>
  <c r="H14" i="2"/>
  <c r="H19" i="2"/>
  <c r="H23" i="2"/>
  <c r="H24" i="2"/>
  <c r="H20" i="2"/>
  <c r="B20" i="2"/>
  <c r="H15" i="2"/>
  <c r="B15" i="2"/>
  <c r="C13" i="2"/>
  <c r="D13" i="2"/>
  <c r="E13" i="2"/>
  <c r="F13" i="2"/>
  <c r="G13" i="2"/>
  <c r="C11" i="2"/>
  <c r="D11" i="2"/>
  <c r="E11" i="2"/>
  <c r="F11" i="2"/>
  <c r="G11" i="2"/>
  <c r="C12" i="2"/>
  <c r="D12" i="2"/>
  <c r="E12" i="2"/>
  <c r="F12" i="2"/>
  <c r="G12" i="2"/>
  <c r="H9" i="2"/>
  <c r="B9" i="2"/>
  <c r="C7" i="2"/>
  <c r="D7" i="2"/>
  <c r="E7" i="2"/>
  <c r="F7" i="2"/>
  <c r="G7" i="2"/>
  <c r="C6" i="2"/>
  <c r="D6" i="2"/>
  <c r="E6" i="2"/>
  <c r="F6" i="2"/>
  <c r="G6" i="2"/>
  <c r="C3" i="2"/>
  <c r="D3" i="2"/>
  <c r="E3" i="2"/>
  <c r="F3" i="2"/>
  <c r="G3" i="2"/>
  <c r="D10" i="2"/>
  <c r="D2" i="2"/>
  <c r="D5" i="2"/>
  <c r="D8" i="2"/>
  <c r="D14" i="2"/>
  <c r="D19" i="2"/>
  <c r="E10" i="2"/>
  <c r="E2" i="2"/>
  <c r="E5" i="2"/>
  <c r="E8" i="2"/>
  <c r="E14" i="2"/>
  <c r="E19" i="2"/>
  <c r="F10" i="2"/>
  <c r="F2" i="2"/>
  <c r="F5" i="2"/>
  <c r="F8" i="2"/>
  <c r="F14" i="2"/>
  <c r="F19" i="2"/>
  <c r="C10" i="2"/>
  <c r="C2" i="2"/>
  <c r="C5" i="2"/>
  <c r="C8" i="2"/>
  <c r="C14" i="2"/>
  <c r="C19" i="2"/>
  <c r="K11" i="3"/>
  <c r="L11" i="3"/>
  <c r="M11" i="3"/>
  <c r="N11" i="3"/>
  <c r="O11" i="3"/>
  <c r="P11" i="3"/>
  <c r="J11" i="3"/>
  <c r="G2" i="2"/>
  <c r="G5" i="2"/>
  <c r="G8" i="2"/>
  <c r="G10" i="2"/>
  <c r="G14" i="2"/>
  <c r="G19" i="2"/>
  <c r="C11" i="3"/>
  <c r="D11" i="3"/>
  <c r="E11" i="3"/>
  <c r="F11" i="3"/>
  <c r="G11" i="3"/>
  <c r="H11" i="3"/>
  <c r="I11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B11" i="3"/>
  <c r="B19" i="3"/>
  <c r="Q31" i="3"/>
  <c r="Q19" i="3"/>
  <c r="Q16" i="3"/>
  <c r="Q17" i="3"/>
  <c r="Q13" i="3"/>
  <c r="K37" i="1"/>
  <c r="K7" i="1"/>
  <c r="K15" i="1"/>
  <c r="K34" i="1"/>
  <c r="K30" i="1"/>
  <c r="K38" i="1"/>
  <c r="K18" i="1"/>
  <c r="K21" i="1"/>
  <c r="K27" i="1"/>
  <c r="K40" i="1"/>
  <c r="J7" i="1"/>
  <c r="J15" i="1"/>
  <c r="J34" i="1"/>
  <c r="J38" i="1"/>
  <c r="J18" i="1"/>
  <c r="J21" i="1"/>
  <c r="J27" i="1"/>
  <c r="J40" i="1"/>
  <c r="B30" i="1"/>
  <c r="B34" i="1"/>
  <c r="B38" i="1"/>
  <c r="B18" i="1"/>
  <c r="B27" i="1"/>
  <c r="B5" i="1"/>
  <c r="B8" i="1"/>
  <c r="B11" i="1"/>
  <c r="B7" i="1"/>
  <c r="B15" i="1"/>
  <c r="B40" i="1"/>
  <c r="B42" i="1"/>
  <c r="C3" i="1"/>
  <c r="C30" i="1"/>
  <c r="C34" i="1"/>
  <c r="C38" i="1"/>
  <c r="C18" i="1"/>
  <c r="C27" i="1"/>
  <c r="C5" i="1"/>
  <c r="C8" i="1"/>
  <c r="C11" i="1"/>
  <c r="C7" i="1"/>
  <c r="C15" i="1"/>
  <c r="C40" i="1"/>
  <c r="C42" i="1"/>
  <c r="D3" i="1"/>
  <c r="D30" i="1"/>
  <c r="D34" i="1"/>
  <c r="D38" i="1"/>
  <c r="D18" i="1"/>
  <c r="D27" i="1"/>
  <c r="D5" i="1"/>
  <c r="D8" i="1"/>
  <c r="D11" i="1"/>
  <c r="D7" i="1"/>
  <c r="D15" i="1"/>
  <c r="D40" i="1"/>
  <c r="D42" i="1"/>
  <c r="E3" i="1"/>
  <c r="E30" i="1"/>
  <c r="E34" i="1"/>
  <c r="E38" i="1"/>
  <c r="E18" i="1"/>
  <c r="E27" i="1"/>
  <c r="E5" i="1"/>
  <c r="E8" i="1"/>
  <c r="E11" i="1"/>
  <c r="E7" i="1"/>
  <c r="E15" i="1"/>
  <c r="E40" i="1"/>
  <c r="E42" i="1"/>
  <c r="F3" i="1"/>
  <c r="F30" i="1"/>
  <c r="F34" i="1"/>
  <c r="F38" i="1"/>
  <c r="F18" i="1"/>
  <c r="F27" i="1"/>
  <c r="F5" i="1"/>
  <c r="F8" i="1"/>
  <c r="F11" i="1"/>
  <c r="F7" i="1"/>
  <c r="F15" i="1"/>
  <c r="F40" i="1"/>
  <c r="F42" i="1"/>
  <c r="G3" i="1"/>
  <c r="G30" i="1"/>
  <c r="G34" i="1"/>
  <c r="G38" i="1"/>
  <c r="G7" i="1"/>
  <c r="G15" i="1"/>
  <c r="G18" i="1"/>
  <c r="G27" i="1"/>
  <c r="G40" i="1"/>
  <c r="G42" i="1"/>
  <c r="H3" i="1"/>
  <c r="H30" i="1"/>
  <c r="H34" i="1"/>
  <c r="H38" i="1"/>
  <c r="H7" i="1"/>
  <c r="H15" i="1"/>
  <c r="H18" i="1"/>
  <c r="H27" i="1"/>
  <c r="H40" i="1"/>
  <c r="H42" i="1"/>
  <c r="I3" i="1"/>
  <c r="I30" i="1"/>
  <c r="I34" i="1"/>
  <c r="I38" i="1"/>
  <c r="I7" i="1"/>
  <c r="I15" i="1"/>
  <c r="I18" i="1"/>
  <c r="I27" i="1"/>
  <c r="I40" i="1"/>
  <c r="I42" i="1"/>
  <c r="J3" i="1"/>
  <c r="J42" i="1"/>
  <c r="K3" i="1"/>
  <c r="K42" i="1"/>
  <c r="L3" i="1"/>
  <c r="L7" i="1"/>
  <c r="L15" i="1"/>
  <c r="L34" i="1"/>
  <c r="L30" i="1"/>
  <c r="L38" i="1"/>
  <c r="L18" i="1"/>
  <c r="L21" i="1"/>
  <c r="L27" i="1"/>
  <c r="L40" i="1"/>
  <c r="L42" i="1"/>
  <c r="M3" i="1"/>
  <c r="M7" i="1"/>
  <c r="M15" i="1"/>
  <c r="M34" i="1"/>
  <c r="M30" i="1"/>
  <c r="M38" i="1"/>
  <c r="M18" i="1"/>
  <c r="M21" i="1"/>
  <c r="M27" i="1"/>
  <c r="M40" i="1"/>
  <c r="M42" i="1"/>
  <c r="N3" i="1"/>
  <c r="N7" i="1"/>
  <c r="N15" i="1"/>
  <c r="N34" i="1"/>
  <c r="N30" i="1"/>
  <c r="N38" i="1"/>
  <c r="N18" i="1"/>
  <c r="N21" i="1"/>
  <c r="N27" i="1"/>
  <c r="N40" i="1"/>
  <c r="N42" i="1"/>
  <c r="O3" i="1"/>
  <c r="O7" i="1"/>
  <c r="O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O18" i="1"/>
  <c r="O21" i="1"/>
  <c r="O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O30" i="1"/>
  <c r="O34" i="1"/>
  <c r="O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O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O42" i="1"/>
  <c r="Q33" i="3"/>
  <c r="G23" i="2"/>
  <c r="G24" i="2"/>
  <c r="F23" i="2"/>
  <c r="F24" i="2"/>
  <c r="E23" i="2"/>
  <c r="E24" i="2"/>
  <c r="D23" i="2"/>
  <c r="D24" i="2"/>
  <c r="C23" i="2"/>
  <c r="C24" i="2"/>
  <c r="G20" i="2"/>
  <c r="F20" i="2"/>
  <c r="E20" i="2"/>
  <c r="D20" i="2"/>
  <c r="C20" i="2"/>
  <c r="G15" i="2"/>
  <c r="F15" i="2"/>
  <c r="E15" i="2"/>
  <c r="D15" i="2"/>
  <c r="C15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<sst xmlns="http://schemas.openxmlformats.org/spreadsheetml/2006/main" count="74" uniqueCount="61">
  <si>
    <t>%</t>
  </si>
  <si>
    <t>EBITDA</t>
  </si>
  <si>
    <t>EBIT</t>
  </si>
  <si>
    <t>IRR</t>
  </si>
  <si>
    <t>Return on investment</t>
  </si>
  <si>
    <t>FEASIBILITY RESEARCH</t>
  </si>
  <si>
    <t>DESIGN VERIFICATION. BETA-PROTOTYPING</t>
  </si>
  <si>
    <t>ALPHA-PROTOTYPING</t>
  </si>
  <si>
    <t>SERIAL MANUFACTURING AND COMMERCIAL OPERATION</t>
  </si>
  <si>
    <t>ROI     %</t>
  </si>
  <si>
    <t>Project</t>
  </si>
  <si>
    <t>Total</t>
  </si>
  <si>
    <t>Direct costs</t>
  </si>
  <si>
    <t>Commercial expendirures</t>
  </si>
  <si>
    <t>Bank interest</t>
  </si>
  <si>
    <t>Income tax</t>
  </si>
  <si>
    <t>Profit after tax</t>
  </si>
  <si>
    <t>Investments</t>
  </si>
  <si>
    <t>NPV</t>
  </si>
  <si>
    <t>Net sales,  kUSD</t>
  </si>
  <si>
    <t>Payback period, months</t>
  </si>
  <si>
    <t>Payback period, years</t>
  </si>
  <si>
    <t>Net sales</t>
  </si>
  <si>
    <t xml:space="preserve">    EP-15 WIG craft</t>
  </si>
  <si>
    <t>Manufacturing costs</t>
  </si>
  <si>
    <t>COGS</t>
  </si>
  <si>
    <t>Number of units</t>
  </si>
  <si>
    <t>Gross profit</t>
  </si>
  <si>
    <t>Commercial expenditures</t>
  </si>
  <si>
    <t>Marketing activities</t>
  </si>
  <si>
    <t>Dealerships expenditures</t>
  </si>
  <si>
    <t>Administrative costs</t>
  </si>
  <si>
    <t xml:space="preserve">  Depreciation of the major property</t>
  </si>
  <si>
    <t xml:space="preserve">   Depreciation of the R&amp;D results</t>
  </si>
  <si>
    <t>NET PROFIT</t>
  </si>
  <si>
    <t>P&amp;L,  USD</t>
  </si>
  <si>
    <t>Cashflow</t>
  </si>
  <si>
    <t>Cash at the beginning of the period</t>
  </si>
  <si>
    <t>Operational activities</t>
  </si>
  <si>
    <t>Income from operational activities</t>
  </si>
  <si>
    <t>Revenue from the product sales</t>
  </si>
  <si>
    <t>Costs of operational activities</t>
  </si>
  <si>
    <t>Commarcial expenditures</t>
  </si>
  <si>
    <t xml:space="preserve">   Marketing activities</t>
  </si>
  <si>
    <t xml:space="preserve">   Dealership expenditures</t>
  </si>
  <si>
    <t>Cashflow from operational activities</t>
  </si>
  <si>
    <t>Cumulative total</t>
  </si>
  <si>
    <t>Investment activities</t>
  </si>
  <si>
    <t>Income from investment activities</t>
  </si>
  <si>
    <t xml:space="preserve">   </t>
  </si>
  <si>
    <t>Costs of investment activities</t>
  </si>
  <si>
    <t>Financial activities</t>
  </si>
  <si>
    <t>Received grants</t>
  </si>
  <si>
    <t>Received loans</t>
  </si>
  <si>
    <t>Costs of financial activities</t>
  </si>
  <si>
    <t xml:space="preserve">   Loans payback</t>
  </si>
  <si>
    <t xml:space="preserve">  Income tax</t>
  </si>
  <si>
    <t xml:space="preserve">   Bank interest</t>
  </si>
  <si>
    <t>Cashflow from financial activities</t>
  </si>
  <si>
    <t>Cumulative cashflow</t>
  </si>
  <si>
    <t>Cash at the end of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</si>
</sst>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  <numFmt numFmtId="167" formatCode="#\ ##0"/>
    <numFmt numFmtId="168" formatCode="#\ ###\ ##0"/>
    <numFmt numFmtId="169" formatCode="_(* #,##0_);_(* \(#,##0\);_(* &quot;-&quot;??_);_(@_)"/>
    <numFmt numFmtId="170" formatCode="0.0%"/>
    <numFmt numFmtId="171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NTTimes/Cyrillic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i/>
      <sz val="8"/>
      <name val="Arial"/>
      <family val="2"/>
      <charset val="204"/>
    </font>
    <font>
      <i/>
      <sz val="12"/>
      <color indexed="9"/>
      <name val="Arial"/>
      <family val="2"/>
      <charset val="204"/>
    </font>
    <font>
      <b/>
      <sz val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165" fontId="1" fillId="0" borderId="1" xfId="1" applyNumberFormat="1" applyFont="1" applyBorder="1"/>
    <xf numFmtId="0" fontId="3" fillId="2" borderId="1" xfId="0" applyFont="1" applyFill="1" applyBorder="1"/>
    <xf numFmtId="165" fontId="3" fillId="2" borderId="1" xfId="1" applyNumberFormat="1" applyFont="1" applyFill="1" applyBorder="1"/>
    <xf numFmtId="0" fontId="0" fillId="3" borderId="1" xfId="0" applyFill="1" applyBorder="1"/>
    <xf numFmtId="165" fontId="1" fillId="3" borderId="1" xfId="1" applyNumberFormat="1" applyFont="1" applyFill="1" applyBorder="1"/>
    <xf numFmtId="0" fontId="0" fillId="4" borderId="1" xfId="0" applyFill="1" applyBorder="1"/>
    <xf numFmtId="165" fontId="1" fillId="4" borderId="1" xfId="1" applyNumberFormat="1" applyFont="1" applyFill="1" applyBorder="1"/>
    <xf numFmtId="0" fontId="4" fillId="3" borderId="1" xfId="0" applyFont="1" applyFill="1" applyBorder="1"/>
    <xf numFmtId="165" fontId="4" fillId="3" borderId="1" xfId="1" applyNumberFormat="1" applyFont="1" applyFill="1" applyBorder="1"/>
    <xf numFmtId="165" fontId="1" fillId="2" borderId="1" xfId="1" applyNumberFormat="1" applyFont="1" applyFill="1" applyBorder="1"/>
    <xf numFmtId="0" fontId="0" fillId="5" borderId="1" xfId="0" applyFill="1" applyBorder="1"/>
    <xf numFmtId="165" fontId="1" fillId="5" borderId="1" xfId="1" applyNumberFormat="1" applyFont="1" applyFill="1" applyBorder="1"/>
    <xf numFmtId="0" fontId="4" fillId="5" borderId="1" xfId="0" applyFont="1" applyFill="1" applyBorder="1"/>
    <xf numFmtId="165" fontId="4" fillId="5" borderId="1" xfId="1" applyNumberFormat="1" applyFont="1" applyFill="1" applyBorder="1"/>
    <xf numFmtId="0" fontId="0" fillId="6" borderId="1" xfId="0" applyFill="1" applyBorder="1"/>
    <xf numFmtId="165" fontId="1" fillId="6" borderId="1" xfId="1" applyNumberFormat="1" applyFont="1" applyFill="1" applyBorder="1"/>
    <xf numFmtId="0" fontId="4" fillId="6" borderId="1" xfId="0" applyFont="1" applyFill="1" applyBorder="1"/>
    <xf numFmtId="165" fontId="4" fillId="6" borderId="1" xfId="1" applyNumberFormat="1" applyFont="1" applyFill="1" applyBorder="1"/>
    <xf numFmtId="0" fontId="4" fillId="0" borderId="1" xfId="0" applyFont="1" applyBorder="1"/>
    <xf numFmtId="165" fontId="4" fillId="0" borderId="1" xfId="1" applyNumberFormat="1" applyFont="1" applyBorder="1"/>
    <xf numFmtId="0" fontId="3" fillId="0" borderId="1" xfId="0" applyFont="1" applyFill="1" applyBorder="1"/>
    <xf numFmtId="165" fontId="3" fillId="0" borderId="1" xfId="1" applyNumberFormat="1" applyFont="1" applyBorder="1"/>
    <xf numFmtId="0" fontId="6" fillId="0" borderId="1" xfId="0" applyFont="1" applyBorder="1"/>
    <xf numFmtId="0" fontId="3" fillId="7" borderId="1" xfId="0" applyFont="1" applyFill="1" applyBorder="1"/>
    <xf numFmtId="165" fontId="3" fillId="7" borderId="1" xfId="1" applyNumberFormat="1" applyFont="1" applyFill="1" applyBorder="1"/>
    <xf numFmtId="0" fontId="0" fillId="7" borderId="1" xfId="0" applyFont="1" applyFill="1" applyBorder="1"/>
    <xf numFmtId="165" fontId="1" fillId="7" borderId="1" xfId="1" applyNumberFormat="1" applyFont="1" applyFill="1" applyBorder="1"/>
    <xf numFmtId="0" fontId="4" fillId="8" borderId="1" xfId="0" applyFont="1" applyFill="1" applyBorder="1"/>
    <xf numFmtId="0" fontId="2" fillId="8" borderId="1" xfId="0" applyFont="1" applyFill="1" applyBorder="1"/>
    <xf numFmtId="0" fontId="0" fillId="7" borderId="1" xfId="0" applyFill="1" applyBorder="1"/>
    <xf numFmtId="0" fontId="0" fillId="0" borderId="1" xfId="0" applyFill="1" applyBorder="1"/>
    <xf numFmtId="0" fontId="7" fillId="0" borderId="2" xfId="2" applyFont="1" applyFill="1" applyBorder="1" applyAlignment="1">
      <alignment horizontal="center"/>
    </xf>
    <xf numFmtId="0" fontId="5" fillId="0" borderId="3" xfId="2" applyBorder="1"/>
    <xf numFmtId="0" fontId="8" fillId="0" borderId="3" xfId="2" applyFont="1" applyBorder="1" applyAlignment="1">
      <alignment horizontal="center"/>
    </xf>
    <xf numFmtId="0" fontId="5" fillId="0" borderId="0" xfId="2"/>
    <xf numFmtId="0" fontId="5" fillId="0" borderId="4" xfId="2" applyFill="1" applyBorder="1" applyAlignment="1">
      <alignment vertical="top" wrapText="1"/>
    </xf>
    <xf numFmtId="0" fontId="9" fillId="0" borderId="4" xfId="2" applyFont="1" applyFill="1" applyBorder="1" applyAlignment="1">
      <alignment horizontal="center" vertical="top" wrapText="1"/>
    </xf>
    <xf numFmtId="0" fontId="9" fillId="0" borderId="4" xfId="2" applyFont="1" applyBorder="1"/>
    <xf numFmtId="0" fontId="8" fillId="0" borderId="4" xfId="2" applyFont="1" applyBorder="1" applyAlignment="1">
      <alignment horizontal="center"/>
    </xf>
    <xf numFmtId="0" fontId="5" fillId="0" borderId="0" xfId="2" applyFill="1" applyBorder="1" applyAlignment="1">
      <alignment vertical="top" wrapText="1"/>
    </xf>
    <xf numFmtId="167" fontId="5" fillId="0" borderId="0" xfId="2" applyNumberFormat="1" applyFill="1" applyBorder="1" applyAlignment="1">
      <alignment vertical="top" wrapText="1"/>
    </xf>
    <xf numFmtId="168" fontId="10" fillId="0" borderId="0" xfId="2" applyNumberFormat="1" applyFont="1"/>
    <xf numFmtId="0" fontId="5" fillId="0" borderId="0" xfId="2" applyBorder="1"/>
    <xf numFmtId="4" fontId="5" fillId="0" borderId="0" xfId="2" applyNumberFormat="1" applyBorder="1"/>
    <xf numFmtId="14" fontId="5" fillId="0" borderId="0" xfId="2" applyNumberFormat="1" applyBorder="1"/>
    <xf numFmtId="10" fontId="5" fillId="0" borderId="0" xfId="2" applyNumberFormat="1" applyBorder="1"/>
    <xf numFmtId="0" fontId="11" fillId="0" borderId="0" xfId="2" applyFont="1" applyFill="1" applyBorder="1" applyAlignment="1">
      <alignment vertical="top" wrapText="1"/>
    </xf>
    <xf numFmtId="167" fontId="8" fillId="0" borderId="0" xfId="2" applyNumberFormat="1" applyFont="1" applyFill="1" applyBorder="1" applyAlignment="1">
      <alignment vertical="top" wrapText="1"/>
    </xf>
    <xf numFmtId="168" fontId="8" fillId="0" borderId="0" xfId="2" applyNumberFormat="1" applyFont="1"/>
    <xf numFmtId="168" fontId="5" fillId="0" borderId="0" xfId="2" applyNumberFormat="1" applyBorder="1"/>
    <xf numFmtId="9" fontId="5" fillId="0" borderId="0" xfId="2" applyNumberFormat="1"/>
    <xf numFmtId="0" fontId="5" fillId="0" borderId="3" xfId="2" applyFill="1" applyBorder="1" applyAlignment="1">
      <alignment vertical="top" wrapText="1"/>
    </xf>
    <xf numFmtId="167" fontId="5" fillId="0" borderId="3" xfId="2" applyNumberFormat="1" applyFill="1" applyBorder="1" applyAlignment="1">
      <alignment vertical="top" wrapText="1"/>
    </xf>
    <xf numFmtId="0" fontId="5" fillId="0" borderId="3" xfId="2" applyFont="1" applyFill="1" applyBorder="1" applyAlignment="1">
      <alignment vertical="top" wrapText="1"/>
    </xf>
    <xf numFmtId="3" fontId="9" fillId="0" borderId="0" xfId="2" applyNumberFormat="1" applyFont="1" applyBorder="1"/>
    <xf numFmtId="169" fontId="9" fillId="0" borderId="0" xfId="4" applyNumberFormat="1" applyFont="1" applyBorder="1"/>
    <xf numFmtId="170" fontId="10" fillId="0" borderId="0" xfId="3" applyNumberFormat="1" applyFont="1"/>
    <xf numFmtId="0" fontId="12" fillId="0" borderId="0" xfId="2" applyFont="1" applyFill="1" applyBorder="1" applyAlignment="1">
      <alignment vertical="top" wrapText="1"/>
    </xf>
    <xf numFmtId="167" fontId="5" fillId="0" borderId="0" xfId="2" applyNumberFormat="1" applyFont="1" applyFill="1" applyBorder="1" applyAlignment="1">
      <alignment vertical="top" wrapText="1"/>
    </xf>
    <xf numFmtId="0" fontId="13" fillId="0" borderId="0" xfId="2" applyFont="1"/>
    <xf numFmtId="168" fontId="14" fillId="0" borderId="0" xfId="2" applyNumberFormat="1" applyFont="1"/>
    <xf numFmtId="0" fontId="13" fillId="0" borderId="0" xfId="2" applyFont="1" applyBorder="1"/>
    <xf numFmtId="14" fontId="13" fillId="0" borderId="0" xfId="2" applyNumberFormat="1" applyFont="1" applyBorder="1"/>
    <xf numFmtId="167" fontId="12" fillId="0" borderId="0" xfId="2" applyNumberFormat="1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167" fontId="10" fillId="0" borderId="0" xfId="2" applyNumberFormat="1" applyFont="1" applyFill="1" applyBorder="1" applyAlignment="1">
      <alignment vertical="top" wrapText="1"/>
    </xf>
    <xf numFmtId="167" fontId="9" fillId="0" borderId="0" xfId="2" applyNumberFormat="1" applyFont="1" applyBorder="1"/>
    <xf numFmtId="0" fontId="9" fillId="0" borderId="5" xfId="2" applyFont="1" applyFill="1" applyBorder="1" applyAlignment="1">
      <alignment vertical="center" wrapText="1"/>
    </xf>
    <xf numFmtId="168" fontId="5" fillId="0" borderId="5" xfId="2" applyNumberFormat="1" applyFill="1" applyBorder="1" applyAlignment="1">
      <alignment vertical="center" wrapText="1"/>
    </xf>
    <xf numFmtId="168" fontId="8" fillId="0" borderId="5" xfId="2" applyNumberFormat="1" applyFont="1" applyBorder="1" applyAlignment="1">
      <alignment vertical="center"/>
    </xf>
    <xf numFmtId="168" fontId="9" fillId="0" borderId="0" xfId="2" applyNumberFormat="1" applyFont="1" applyBorder="1"/>
    <xf numFmtId="169" fontId="9" fillId="0" borderId="0" xfId="2" applyNumberFormat="1" applyFont="1" applyBorder="1"/>
    <xf numFmtId="0" fontId="9" fillId="0" borderId="0" xfId="2" applyFont="1" applyFill="1" applyBorder="1" applyAlignment="1">
      <alignment vertical="top" wrapText="1"/>
    </xf>
    <xf numFmtId="168" fontId="5" fillId="0" borderId="0" xfId="2" applyNumberFormat="1" applyFill="1" applyBorder="1" applyAlignment="1">
      <alignment vertical="top" wrapText="1"/>
    </xf>
    <xf numFmtId="0" fontId="15" fillId="0" borderId="0" xfId="2" applyFont="1" applyFill="1" applyBorder="1" applyAlignment="1">
      <alignment vertical="top" wrapText="1"/>
    </xf>
    <xf numFmtId="2" fontId="13" fillId="0" borderId="0" xfId="2" applyNumberFormat="1" applyFont="1" applyFill="1" applyBorder="1" applyAlignment="1">
      <alignment vertical="top" wrapText="1"/>
    </xf>
    <xf numFmtId="171" fontId="13" fillId="0" borderId="0" xfId="2" applyNumberFormat="1" applyFont="1" applyFill="1" applyBorder="1" applyAlignment="1">
      <alignment vertical="top" wrapText="1"/>
    </xf>
    <xf numFmtId="10" fontId="10" fillId="0" borderId="0" xfId="2" applyNumberFormat="1" applyFont="1"/>
    <xf numFmtId="0" fontId="5" fillId="0" borderId="0" xfId="2" applyFont="1" applyFill="1" applyBorder="1" applyAlignment="1">
      <alignment vertical="top" wrapText="1"/>
    </xf>
    <xf numFmtId="0" fontId="10" fillId="0" borderId="0" xfId="2" applyFont="1"/>
    <xf numFmtId="168" fontId="5" fillId="0" borderId="0" xfId="2" applyNumberFormat="1"/>
    <xf numFmtId="168" fontId="10" fillId="0" borderId="0" xfId="2" applyNumberFormat="1" applyFont="1" applyBorder="1"/>
    <xf numFmtId="168" fontId="5" fillId="0" borderId="3" xfId="2" applyNumberFormat="1" applyFill="1" applyBorder="1" applyAlignment="1">
      <alignment vertical="top" wrapText="1"/>
    </xf>
    <xf numFmtId="9" fontId="10" fillId="0" borderId="3" xfId="2" applyNumberFormat="1" applyFont="1" applyBorder="1"/>
    <xf numFmtId="171" fontId="16" fillId="0" borderId="0" xfId="2" applyNumberFormat="1" applyFont="1" applyBorder="1" applyProtection="1"/>
    <xf numFmtId="0" fontId="10" fillId="0" borderId="0" xfId="2" applyFont="1" applyBorder="1"/>
    <xf numFmtId="168" fontId="8" fillId="0" borderId="6" xfId="2" applyNumberFormat="1" applyFont="1" applyBorder="1"/>
    <xf numFmtId="9" fontId="8" fillId="0" borderId="7" xfId="2" applyNumberFormat="1" applyFont="1" applyBorder="1"/>
    <xf numFmtId="168" fontId="9" fillId="0" borderId="0" xfId="2" applyNumberFormat="1" applyFont="1" applyFill="1" applyBorder="1" applyAlignment="1">
      <alignment vertical="top" wrapText="1"/>
    </xf>
    <xf numFmtId="0" fontId="9" fillId="0" borderId="0" xfId="2" applyFont="1" applyBorder="1"/>
    <xf numFmtId="0" fontId="8" fillId="0" borderId="0" xfId="2" applyFont="1" applyBorder="1"/>
    <xf numFmtId="167" fontId="5" fillId="0" borderId="0" xfId="2" applyNumberFormat="1"/>
    <xf numFmtId="165" fontId="2" fillId="8" borderId="1" xfId="1" applyNumberFormat="1" applyFont="1" applyFill="1" applyBorder="1"/>
    <xf numFmtId="165" fontId="4" fillId="8" borderId="1" xfId="1" applyNumberFormat="1" applyFont="1" applyFill="1" applyBorder="1"/>
    <xf numFmtId="0" fontId="7" fillId="0" borderId="3" xfId="2" applyFont="1" applyFill="1" applyBorder="1" applyAlignment="1">
      <alignment horizontal="center"/>
    </xf>
    <xf numFmtId="168" fontId="8" fillId="0" borderId="1" xfId="2" applyNumberFormat="1" applyFont="1" applyBorder="1"/>
    <xf numFmtId="165" fontId="5" fillId="0" borderId="0" xfId="1" applyNumberFormat="1" applyFont="1"/>
    <xf numFmtId="165" fontId="5" fillId="0" borderId="0" xfId="1" applyNumberFormat="1" applyFont="1" applyFill="1" applyBorder="1" applyAlignment="1">
      <alignment vertical="top" wrapText="1"/>
    </xf>
    <xf numFmtId="165" fontId="8" fillId="0" borderId="0" xfId="1" applyNumberFormat="1" applyFont="1" applyFill="1" applyBorder="1" applyAlignment="1">
      <alignment wrapText="1"/>
    </xf>
    <xf numFmtId="0" fontId="8" fillId="0" borderId="6" xfId="2" applyFont="1" applyBorder="1"/>
    <xf numFmtId="165" fontId="17" fillId="0" borderId="7" xfId="1" applyNumberFormat="1" applyFont="1" applyBorder="1"/>
    <xf numFmtId="0" fontId="17" fillId="0" borderId="0" xfId="2" applyFont="1"/>
    <xf numFmtId="0" fontId="9" fillId="0" borderId="1" xfId="2" applyFont="1" applyFill="1" applyBorder="1" applyAlignment="1">
      <alignment vertical="top" wrapText="1"/>
    </xf>
  </cellXfs>
  <cellStyles count="25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Обычный" xfId="0" builtinId="0"/>
    <cellStyle name="Обычный 2" xfId="2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центный 2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800" b="1" i="0" u="none" strike="noStrike" baseline="0">
                <a:effectLst/>
              </a:rPr>
              <a:t>Project profile </a:t>
            </a:r>
            <a:endParaRPr lang="ru-RU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4052983377078"/>
          <c:y val="0.032345062558237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71283095723"/>
          <c:y val="0.185983827493261"/>
          <c:w val="0.55193482688391"/>
          <c:h val="0.746630727762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'Окупаемость и доходность '!$A$19</c:f>
              <c:strCache>
                <c:ptCount val="1"/>
                <c:pt idx="0">
                  <c:v>NPV</c:v>
                </c:pt>
              </c:strCache>
            </c:strRef>
          </c:tx>
          <c:invertIfNegative val="0"/>
          <c:cat>
            <c:numRef>
              <c:f>'Окупаемость и доходность '!$B$2:$P$2</c:f>
              <c:numCache>
                <c:formatCode>General</c:formatCode>
                <c:ptCount val="15"/>
                <c:pt idx="0">
                  <c:v>2019.0</c:v>
                </c:pt>
                <c:pt idx="1">
                  <c:v>2020.0</c:v>
                </c:pt>
                <c:pt idx="2">
                  <c:v>2021.0</c:v>
                </c:pt>
                <c:pt idx="3">
                  <c:v>2022.0</c:v>
                </c:pt>
                <c:pt idx="4">
                  <c:v>2023.0</c:v>
                </c:pt>
                <c:pt idx="5">
                  <c:v>2024.0</c:v>
                </c:pt>
                <c:pt idx="6">
                  <c:v>2025.0</c:v>
                </c:pt>
                <c:pt idx="7">
                  <c:v>2026.0</c:v>
                </c:pt>
                <c:pt idx="8">
                  <c:v>2027.0</c:v>
                </c:pt>
                <c:pt idx="9">
                  <c:v>2028.0</c:v>
                </c:pt>
                <c:pt idx="10">
                  <c:v>2029.0</c:v>
                </c:pt>
                <c:pt idx="11">
                  <c:v>2030.0</c:v>
                </c:pt>
                <c:pt idx="12">
                  <c:v>2031.0</c:v>
                </c:pt>
                <c:pt idx="13">
                  <c:v>2032.0</c:v>
                </c:pt>
                <c:pt idx="14">
                  <c:v>2033.0</c:v>
                </c:pt>
              </c:numCache>
            </c:numRef>
          </c:cat>
          <c:val>
            <c:numRef>
              <c:f>'Окупаемость и доходность '!$B$19:$P$19</c:f>
              <c:numCache>
                <c:formatCode>#\ ###\ ##0</c:formatCode>
                <c:ptCount val="15"/>
                <c:pt idx="0">
                  <c:v>-200.0</c:v>
                </c:pt>
                <c:pt idx="1">
                  <c:v>-1500.0</c:v>
                </c:pt>
                <c:pt idx="2">
                  <c:v>-10000.0</c:v>
                </c:pt>
                <c:pt idx="3">
                  <c:v>-20000.0</c:v>
                </c:pt>
                <c:pt idx="4">
                  <c:v>-25000.0</c:v>
                </c:pt>
                <c:pt idx="5">
                  <c:v>4940.0</c:v>
                </c:pt>
                <c:pt idx="6">
                  <c:v>10030.0</c:v>
                </c:pt>
                <c:pt idx="7">
                  <c:v>10030.0</c:v>
                </c:pt>
                <c:pt idx="8">
                  <c:v>10030.0</c:v>
                </c:pt>
                <c:pt idx="9">
                  <c:v>10030.0</c:v>
                </c:pt>
                <c:pt idx="10">
                  <c:v>10030.0</c:v>
                </c:pt>
                <c:pt idx="11">
                  <c:v>10030.0</c:v>
                </c:pt>
                <c:pt idx="12">
                  <c:v>10030.0</c:v>
                </c:pt>
                <c:pt idx="13">
                  <c:v>10030.0</c:v>
                </c:pt>
                <c:pt idx="14">
                  <c:v>10030.0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619960"/>
        <c:axId val="2130623000"/>
      </c:barChart>
      <c:catAx>
        <c:axId val="213061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2130623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623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</c:majorGridlines>
        <c:numFmt formatCode="#\ ###\ ##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30619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050988626422"/>
          <c:y val="0.530997446457404"/>
          <c:w val="0.258655748031496"/>
          <c:h val="0.059299091678580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 alignWithMargins="0"/>
    <c:pageMargins b="1.0" l="0.75" r="0.75" t="1.0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38</xdr:row>
      <xdr:rowOff>19050</xdr:rowOff>
    </xdr:from>
    <xdr:to>
      <xdr:col>16</xdr:col>
      <xdr:colOff>714375</xdr:colOff>
      <xdr:row>63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2"/>
  <sheetViews>
    <sheetView workbookViewId="0">
      <selection activeCell="A41" sqref="A41"/>
    </sheetView>
  </sheetViews>
  <sheetFormatPr baseColWidth="10" defaultColWidth="8.83203125" defaultRowHeight="14" x14ac:dyDescent="0"/>
  <cols>
    <col min="1" max="1" width="55.33203125" customWidth="1"/>
    <col min="2" max="2" width="14.5" customWidth="1"/>
    <col min="3" max="3" width="15.6640625" customWidth="1"/>
    <col min="4" max="4" width="15" customWidth="1"/>
    <col min="5" max="5" width="15.83203125" customWidth="1"/>
    <col min="6" max="6" width="16.5" customWidth="1"/>
    <col min="7" max="8" width="15.5" customWidth="1"/>
    <col min="9" max="9" width="14.33203125" customWidth="1"/>
    <col min="10" max="10" width="13.83203125" customWidth="1"/>
    <col min="11" max="11" width="15.5" customWidth="1"/>
    <col min="12" max="12" width="14.6640625" customWidth="1"/>
    <col min="13" max="13" width="15" customWidth="1"/>
    <col min="14" max="14" width="15.33203125" customWidth="1"/>
    <col min="15" max="15" width="14.33203125" customWidth="1"/>
  </cols>
  <sheetData>
    <row r="2" spans="1:15">
      <c r="A2" s="1" t="s">
        <v>36</v>
      </c>
      <c r="B2" s="2">
        <v>2019</v>
      </c>
      <c r="C2" s="2">
        <v>2020</v>
      </c>
      <c r="D2" s="2">
        <v>2021</v>
      </c>
      <c r="E2" s="2">
        <v>2022</v>
      </c>
      <c r="F2" s="2">
        <v>2023</v>
      </c>
      <c r="G2" s="2">
        <v>2024</v>
      </c>
      <c r="H2" s="2">
        <v>2025</v>
      </c>
      <c r="I2" s="2">
        <v>2026</v>
      </c>
      <c r="J2" s="2">
        <v>2027</v>
      </c>
      <c r="K2" s="2">
        <v>2028</v>
      </c>
      <c r="L2" s="2">
        <v>2029</v>
      </c>
      <c r="M2" s="2">
        <v>2030</v>
      </c>
      <c r="N2" s="2">
        <v>2031</v>
      </c>
      <c r="O2" s="2">
        <v>2032</v>
      </c>
    </row>
    <row r="3" spans="1:15">
      <c r="A3" s="3" t="s">
        <v>37</v>
      </c>
      <c r="B3" s="4">
        <v>0</v>
      </c>
      <c r="C3" s="4">
        <f>B42</f>
        <v>0</v>
      </c>
      <c r="D3" s="4">
        <f>C42</f>
        <v>0</v>
      </c>
      <c r="E3" s="4">
        <f>D42</f>
        <v>0</v>
      </c>
      <c r="F3" s="4">
        <f>E42</f>
        <v>0</v>
      </c>
      <c r="G3" s="4">
        <f>F42</f>
        <v>0</v>
      </c>
      <c r="H3" s="4">
        <f t="shared" ref="H3:N3" si="0">G42</f>
        <v>4940000</v>
      </c>
      <c r="I3" s="4">
        <f t="shared" si="0"/>
        <v>14970000</v>
      </c>
      <c r="J3" s="4">
        <f t="shared" si="0"/>
        <v>25000000</v>
      </c>
      <c r="K3" s="4">
        <f t="shared" si="0"/>
        <v>35030000</v>
      </c>
      <c r="L3" s="4">
        <f t="shared" si="0"/>
        <v>45060000</v>
      </c>
      <c r="M3" s="4">
        <f t="shared" si="0"/>
        <v>55090000</v>
      </c>
      <c r="N3" s="4">
        <f t="shared" si="0"/>
        <v>65120000</v>
      </c>
      <c r="O3" s="4">
        <f t="shared" ref="O3" si="1">N42</f>
        <v>75150000</v>
      </c>
    </row>
    <row r="4" spans="1:15">
      <c r="A4" s="5" t="s">
        <v>38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>
      <c r="A5" s="7" t="s">
        <v>39</v>
      </c>
      <c r="B5" s="8">
        <f t="shared" ref="B5:O5" si="2">SUM(B6:B6)</f>
        <v>0</v>
      </c>
      <c r="C5" s="8">
        <f t="shared" si="2"/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10000000</v>
      </c>
      <c r="H5" s="8">
        <f t="shared" si="2"/>
        <v>20000000</v>
      </c>
      <c r="I5" s="8">
        <f t="shared" si="2"/>
        <v>20000000</v>
      </c>
      <c r="J5" s="8">
        <f t="shared" si="2"/>
        <v>20000000</v>
      </c>
      <c r="K5" s="8">
        <f t="shared" si="2"/>
        <v>20000000</v>
      </c>
      <c r="L5" s="8">
        <f t="shared" si="2"/>
        <v>20000000</v>
      </c>
      <c r="M5" s="8">
        <f t="shared" si="2"/>
        <v>20000000</v>
      </c>
      <c r="N5" s="8">
        <f t="shared" si="2"/>
        <v>20000000</v>
      </c>
      <c r="O5" s="8">
        <f t="shared" si="2"/>
        <v>20000000</v>
      </c>
    </row>
    <row r="6" spans="1:15">
      <c r="A6" s="3" t="s">
        <v>40</v>
      </c>
      <c r="B6" s="4"/>
      <c r="C6" s="4"/>
      <c r="D6" s="4"/>
      <c r="E6" s="4"/>
      <c r="F6" s="4"/>
      <c r="G6" s="4">
        <f>G9*1000000</f>
        <v>10000000</v>
      </c>
      <c r="H6" s="4">
        <f t="shared" ref="H6:O6" si="3">H9*1000000</f>
        <v>20000000</v>
      </c>
      <c r="I6" s="4">
        <f t="shared" si="3"/>
        <v>20000000</v>
      </c>
      <c r="J6" s="4">
        <f t="shared" si="3"/>
        <v>20000000</v>
      </c>
      <c r="K6" s="4">
        <f t="shared" si="3"/>
        <v>20000000</v>
      </c>
      <c r="L6" s="4">
        <f t="shared" si="3"/>
        <v>20000000</v>
      </c>
      <c r="M6" s="4">
        <f t="shared" si="3"/>
        <v>20000000</v>
      </c>
      <c r="N6" s="4">
        <f t="shared" si="3"/>
        <v>20000000</v>
      </c>
      <c r="O6" s="4">
        <f t="shared" si="3"/>
        <v>20000000</v>
      </c>
    </row>
    <row r="7" spans="1:15">
      <c r="A7" s="7" t="s">
        <v>41</v>
      </c>
      <c r="B7" s="8">
        <f t="shared" ref="B7:O7" si="4">B8+B11+B14</f>
        <v>0</v>
      </c>
      <c r="C7" s="8">
        <f t="shared" si="4"/>
        <v>0</v>
      </c>
      <c r="D7" s="8">
        <f t="shared" si="4"/>
        <v>0</v>
      </c>
      <c r="E7" s="8">
        <f t="shared" si="4"/>
        <v>0</v>
      </c>
      <c r="F7" s="8">
        <f t="shared" si="4"/>
        <v>0</v>
      </c>
      <c r="G7" s="8">
        <f t="shared" si="4"/>
        <v>5060000</v>
      </c>
      <c r="H7" s="8">
        <f t="shared" si="4"/>
        <v>9970000</v>
      </c>
      <c r="I7" s="8">
        <f t="shared" si="4"/>
        <v>9970000</v>
      </c>
      <c r="J7" s="8">
        <f t="shared" si="4"/>
        <v>9970000</v>
      </c>
      <c r="K7" s="8">
        <f t="shared" si="4"/>
        <v>9970000</v>
      </c>
      <c r="L7" s="8">
        <f t="shared" si="4"/>
        <v>9970000</v>
      </c>
      <c r="M7" s="8">
        <f t="shared" si="4"/>
        <v>9970000</v>
      </c>
      <c r="N7" s="8">
        <f t="shared" si="4"/>
        <v>9970000</v>
      </c>
      <c r="O7" s="8">
        <f t="shared" si="4"/>
        <v>9970000</v>
      </c>
    </row>
    <row r="8" spans="1:15">
      <c r="A8" s="9" t="s">
        <v>24</v>
      </c>
      <c r="B8" s="10">
        <f>B9*B10</f>
        <v>0</v>
      </c>
      <c r="C8" s="10">
        <f t="shared" ref="C8:O8" si="5">C9*C10</f>
        <v>0</v>
      </c>
      <c r="D8" s="10">
        <f t="shared" si="5"/>
        <v>0</v>
      </c>
      <c r="E8" s="10">
        <f t="shared" si="5"/>
        <v>0</v>
      </c>
      <c r="F8" s="10">
        <f t="shared" si="5"/>
        <v>0</v>
      </c>
      <c r="G8" s="10">
        <f t="shared" si="5"/>
        <v>4900000</v>
      </c>
      <c r="H8" s="10">
        <f t="shared" si="5"/>
        <v>9800000</v>
      </c>
      <c r="I8" s="10">
        <f t="shared" si="5"/>
        <v>9800000</v>
      </c>
      <c r="J8" s="10">
        <f t="shared" si="5"/>
        <v>9800000</v>
      </c>
      <c r="K8" s="10">
        <f t="shared" si="5"/>
        <v>9800000</v>
      </c>
      <c r="L8" s="10">
        <f t="shared" si="5"/>
        <v>9800000</v>
      </c>
      <c r="M8" s="10">
        <f t="shared" si="5"/>
        <v>9800000</v>
      </c>
      <c r="N8" s="10">
        <f t="shared" si="5"/>
        <v>9800000</v>
      </c>
      <c r="O8" s="10">
        <f t="shared" si="5"/>
        <v>9800000</v>
      </c>
    </row>
    <row r="9" spans="1:15">
      <c r="A9" s="3" t="s">
        <v>26</v>
      </c>
      <c r="B9" s="4"/>
      <c r="C9" s="4"/>
      <c r="D9" s="4"/>
      <c r="E9" s="4"/>
      <c r="F9" s="4"/>
      <c r="G9" s="4">
        <v>10</v>
      </c>
      <c r="H9" s="4">
        <v>20</v>
      </c>
      <c r="I9" s="4">
        <v>20</v>
      </c>
      <c r="J9" s="4">
        <v>20</v>
      </c>
      <c r="K9" s="4">
        <v>20</v>
      </c>
      <c r="L9" s="4">
        <v>20</v>
      </c>
      <c r="M9" s="4">
        <v>20</v>
      </c>
      <c r="N9" s="4">
        <v>20</v>
      </c>
      <c r="O9" s="4">
        <v>20</v>
      </c>
    </row>
    <row r="10" spans="1:15">
      <c r="A10" s="3" t="s">
        <v>25</v>
      </c>
      <c r="B10" s="4"/>
      <c r="C10" s="4"/>
      <c r="D10" s="4"/>
      <c r="E10" s="4"/>
      <c r="F10" s="4"/>
      <c r="G10" s="4">
        <v>490000</v>
      </c>
      <c r="H10" s="4">
        <v>490000</v>
      </c>
      <c r="I10" s="4">
        <v>490000</v>
      </c>
      <c r="J10" s="4">
        <v>490000</v>
      </c>
      <c r="K10" s="4">
        <v>490000</v>
      </c>
      <c r="L10" s="4">
        <v>490000</v>
      </c>
      <c r="M10" s="4">
        <v>490000</v>
      </c>
      <c r="N10" s="4">
        <v>490000</v>
      </c>
      <c r="O10" s="4">
        <v>490000</v>
      </c>
    </row>
    <row r="11" spans="1:15">
      <c r="A11" s="9" t="s">
        <v>42</v>
      </c>
      <c r="B11" s="10">
        <f t="shared" ref="B11:O11" si="6">SUM(B12:B13)</f>
        <v>0</v>
      </c>
      <c r="C11" s="10">
        <f t="shared" si="6"/>
        <v>0</v>
      </c>
      <c r="D11" s="10">
        <f t="shared" si="6"/>
        <v>0</v>
      </c>
      <c r="E11" s="10">
        <f t="shared" si="6"/>
        <v>0</v>
      </c>
      <c r="F11" s="10">
        <f t="shared" si="6"/>
        <v>0</v>
      </c>
      <c r="G11" s="10">
        <f t="shared" si="6"/>
        <v>10000</v>
      </c>
      <c r="H11" s="10">
        <f t="shared" si="6"/>
        <v>20000</v>
      </c>
      <c r="I11" s="10">
        <f t="shared" si="6"/>
        <v>20000</v>
      </c>
      <c r="J11" s="10">
        <f t="shared" si="6"/>
        <v>20000</v>
      </c>
      <c r="K11" s="10">
        <f t="shared" si="6"/>
        <v>20000</v>
      </c>
      <c r="L11" s="10">
        <f t="shared" si="6"/>
        <v>20000</v>
      </c>
      <c r="M11" s="10">
        <f t="shared" si="6"/>
        <v>20000</v>
      </c>
      <c r="N11" s="10">
        <f t="shared" si="6"/>
        <v>20000</v>
      </c>
      <c r="O11" s="10">
        <f t="shared" si="6"/>
        <v>20000</v>
      </c>
    </row>
    <row r="12" spans="1:15">
      <c r="A12" s="3" t="s">
        <v>43</v>
      </c>
      <c r="B12" s="4"/>
      <c r="C12" s="4"/>
      <c r="D12" s="4"/>
      <c r="E12" s="4"/>
      <c r="F12" s="4"/>
      <c r="G12" s="4">
        <f>G6*0.001</f>
        <v>10000</v>
      </c>
      <c r="H12" s="4">
        <f t="shared" ref="H12:O12" si="7">H6*0.001</f>
        <v>20000</v>
      </c>
      <c r="I12" s="4">
        <f t="shared" si="7"/>
        <v>20000</v>
      </c>
      <c r="J12" s="4">
        <f t="shared" si="7"/>
        <v>20000</v>
      </c>
      <c r="K12" s="4">
        <f t="shared" si="7"/>
        <v>20000</v>
      </c>
      <c r="L12" s="4">
        <f t="shared" si="7"/>
        <v>20000</v>
      </c>
      <c r="M12" s="4">
        <f t="shared" si="7"/>
        <v>20000</v>
      </c>
      <c r="N12" s="4">
        <f t="shared" si="7"/>
        <v>20000</v>
      </c>
      <c r="O12" s="4">
        <f t="shared" si="7"/>
        <v>20000</v>
      </c>
    </row>
    <row r="13" spans="1:15">
      <c r="A13" s="3" t="s">
        <v>44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A14" s="9" t="s">
        <v>31</v>
      </c>
      <c r="B14" s="10"/>
      <c r="C14" s="10"/>
      <c r="D14" s="10"/>
      <c r="E14" s="10"/>
      <c r="F14" s="10"/>
      <c r="G14" s="10">
        <v>150000</v>
      </c>
      <c r="H14" s="10">
        <v>150000</v>
      </c>
      <c r="I14" s="10">
        <v>150000</v>
      </c>
      <c r="J14" s="10">
        <v>150000</v>
      </c>
      <c r="K14" s="10">
        <v>150000</v>
      </c>
      <c r="L14" s="10">
        <v>150000</v>
      </c>
      <c r="M14" s="10">
        <v>150000</v>
      </c>
      <c r="N14" s="10">
        <v>150000</v>
      </c>
      <c r="O14" s="10">
        <v>150000</v>
      </c>
    </row>
    <row r="15" spans="1:15">
      <c r="A15" s="11" t="s">
        <v>45</v>
      </c>
      <c r="B15" s="12">
        <f t="shared" ref="B15:O15" si="8">B5-B7</f>
        <v>0</v>
      </c>
      <c r="C15" s="12">
        <f t="shared" si="8"/>
        <v>0</v>
      </c>
      <c r="D15" s="12">
        <f t="shared" si="8"/>
        <v>0</v>
      </c>
      <c r="E15" s="12">
        <f t="shared" si="8"/>
        <v>0</v>
      </c>
      <c r="F15" s="12">
        <f t="shared" si="8"/>
        <v>0</v>
      </c>
      <c r="G15" s="12">
        <f t="shared" si="8"/>
        <v>4940000</v>
      </c>
      <c r="H15" s="12">
        <f t="shared" si="8"/>
        <v>10030000</v>
      </c>
      <c r="I15" s="12">
        <f t="shared" si="8"/>
        <v>10030000</v>
      </c>
      <c r="J15" s="12">
        <f t="shared" si="8"/>
        <v>10030000</v>
      </c>
      <c r="K15" s="12">
        <f t="shared" si="8"/>
        <v>10030000</v>
      </c>
      <c r="L15" s="12">
        <f t="shared" si="8"/>
        <v>10030000</v>
      </c>
      <c r="M15" s="12">
        <f t="shared" si="8"/>
        <v>10030000</v>
      </c>
      <c r="N15" s="12">
        <f t="shared" si="8"/>
        <v>10030000</v>
      </c>
      <c r="O15" s="12">
        <f t="shared" si="8"/>
        <v>10030000</v>
      </c>
    </row>
    <row r="16" spans="1:15">
      <c r="A16" s="11" t="s">
        <v>46</v>
      </c>
      <c r="B16" s="12">
        <f>B15</f>
        <v>0</v>
      </c>
      <c r="C16" s="12">
        <f>B16+C15</f>
        <v>0</v>
      </c>
      <c r="D16" s="12">
        <f>C16+D15</f>
        <v>0</v>
      </c>
      <c r="E16" s="12">
        <f>D16+E15</f>
        <v>0</v>
      </c>
      <c r="F16" s="12">
        <f>E16+F15</f>
        <v>0</v>
      </c>
      <c r="G16" s="12">
        <f>F16+G15</f>
        <v>4940000</v>
      </c>
      <c r="H16" s="12">
        <f t="shared" ref="H16:O16" si="9">G16+H15</f>
        <v>14970000</v>
      </c>
      <c r="I16" s="12">
        <f t="shared" si="9"/>
        <v>25000000</v>
      </c>
      <c r="J16" s="12">
        <f t="shared" si="9"/>
        <v>35030000</v>
      </c>
      <c r="K16" s="12">
        <f t="shared" si="9"/>
        <v>45060000</v>
      </c>
      <c r="L16" s="12">
        <f t="shared" si="9"/>
        <v>55090000</v>
      </c>
      <c r="M16" s="12">
        <f t="shared" si="9"/>
        <v>65120000</v>
      </c>
      <c r="N16" s="12">
        <f t="shared" si="9"/>
        <v>75150000</v>
      </c>
      <c r="O16" s="12">
        <f t="shared" si="9"/>
        <v>85180000</v>
      </c>
    </row>
    <row r="17" spans="1:15">
      <c r="A17" s="5" t="s">
        <v>47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>
      <c r="A18" s="14" t="s">
        <v>48</v>
      </c>
      <c r="B18" s="15">
        <f t="shared" ref="B18:G18" si="10">SUM(B19:B20)</f>
        <v>0</v>
      </c>
      <c r="C18" s="15">
        <f t="shared" si="10"/>
        <v>0</v>
      </c>
      <c r="D18" s="15">
        <f t="shared" si="10"/>
        <v>0</v>
      </c>
      <c r="E18" s="15">
        <f t="shared" si="10"/>
        <v>0</v>
      </c>
      <c r="F18" s="15">
        <f t="shared" si="10"/>
        <v>0</v>
      </c>
      <c r="G18" s="15">
        <f t="shared" si="10"/>
        <v>0</v>
      </c>
      <c r="H18" s="15">
        <f t="shared" ref="H18:N18" si="11">SUM(H19:H20)</f>
        <v>0</v>
      </c>
      <c r="I18" s="15">
        <f t="shared" si="11"/>
        <v>0</v>
      </c>
      <c r="J18" s="15">
        <f t="shared" si="11"/>
        <v>0</v>
      </c>
      <c r="K18" s="15">
        <f t="shared" si="11"/>
        <v>0</v>
      </c>
      <c r="L18" s="15">
        <f t="shared" si="11"/>
        <v>0</v>
      </c>
      <c r="M18" s="15">
        <f t="shared" si="11"/>
        <v>0</v>
      </c>
      <c r="N18" s="15">
        <f t="shared" si="11"/>
        <v>0</v>
      </c>
      <c r="O18" s="15">
        <f t="shared" ref="O18" si="12">SUM(O19:O20)</f>
        <v>0</v>
      </c>
    </row>
    <row r="19" spans="1:15">
      <c r="A19" s="3" t="s">
        <v>49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14" t="s">
        <v>50</v>
      </c>
      <c r="B21" s="15">
        <f t="shared" ref="B21:G21" si="13">SUM(B22:B26)</f>
        <v>200000</v>
      </c>
      <c r="C21" s="15">
        <f t="shared" si="13"/>
        <v>1500000</v>
      </c>
      <c r="D21" s="15">
        <f t="shared" si="13"/>
        <v>10000000</v>
      </c>
      <c r="E21" s="15">
        <f t="shared" si="13"/>
        <v>20000000</v>
      </c>
      <c r="F21" s="15">
        <f t="shared" si="13"/>
        <v>25000000</v>
      </c>
      <c r="G21" s="15">
        <f t="shared" si="13"/>
        <v>0</v>
      </c>
      <c r="H21" s="15">
        <f t="shared" ref="H21:N21" si="14">SUM(H22:H26)</f>
        <v>0</v>
      </c>
      <c r="I21" s="15">
        <f t="shared" si="14"/>
        <v>0</v>
      </c>
      <c r="J21" s="15">
        <f t="shared" si="14"/>
        <v>0</v>
      </c>
      <c r="K21" s="15">
        <f t="shared" si="14"/>
        <v>0</v>
      </c>
      <c r="L21" s="15">
        <f t="shared" si="14"/>
        <v>0</v>
      </c>
      <c r="M21" s="15">
        <f t="shared" si="14"/>
        <v>0</v>
      </c>
      <c r="N21" s="15">
        <f t="shared" si="14"/>
        <v>0</v>
      </c>
      <c r="O21" s="15">
        <f t="shared" ref="O21" si="15">SUM(O22:O26)</f>
        <v>0</v>
      </c>
    </row>
    <row r="22" spans="1:15">
      <c r="A22" s="3" t="s">
        <v>5</v>
      </c>
      <c r="B22" s="4">
        <v>200000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3" t="s">
        <v>6</v>
      </c>
      <c r="B23" s="4"/>
      <c r="C23" s="4">
        <v>1500000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3" t="s">
        <v>7</v>
      </c>
      <c r="B24" s="4"/>
      <c r="C24" s="4"/>
      <c r="D24" s="4">
        <v>10000000</v>
      </c>
      <c r="E24" s="4">
        <v>5000000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3" t="s">
        <v>8</v>
      </c>
      <c r="B25" s="4"/>
      <c r="C25" s="4"/>
      <c r="D25" s="4"/>
      <c r="E25" s="4">
        <v>15000000</v>
      </c>
      <c r="F25" s="4">
        <v>25000000</v>
      </c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16" t="s">
        <v>45</v>
      </c>
      <c r="B27" s="17">
        <f t="shared" ref="B27:G27" si="16">B18-B21</f>
        <v>-200000</v>
      </c>
      <c r="C27" s="17">
        <f t="shared" si="16"/>
        <v>-1500000</v>
      </c>
      <c r="D27" s="17">
        <f t="shared" si="16"/>
        <v>-10000000</v>
      </c>
      <c r="E27" s="17">
        <f t="shared" si="16"/>
        <v>-20000000</v>
      </c>
      <c r="F27" s="17">
        <f t="shared" si="16"/>
        <v>-25000000</v>
      </c>
      <c r="G27" s="17">
        <f t="shared" si="16"/>
        <v>0</v>
      </c>
      <c r="H27" s="17">
        <f t="shared" ref="H27:N27" si="17">H18-H21</f>
        <v>0</v>
      </c>
      <c r="I27" s="17">
        <f t="shared" si="17"/>
        <v>0</v>
      </c>
      <c r="J27" s="17">
        <f t="shared" si="17"/>
        <v>0</v>
      </c>
      <c r="K27" s="17">
        <f t="shared" si="17"/>
        <v>0</v>
      </c>
      <c r="L27" s="17">
        <f t="shared" si="17"/>
        <v>0</v>
      </c>
      <c r="M27" s="17">
        <f t="shared" si="17"/>
        <v>0</v>
      </c>
      <c r="N27" s="17">
        <f t="shared" si="17"/>
        <v>0</v>
      </c>
      <c r="O27" s="17">
        <f t="shared" ref="O27" si="18">O18-O21</f>
        <v>0</v>
      </c>
    </row>
    <row r="28" spans="1:15">
      <c r="A28" s="16" t="s">
        <v>46</v>
      </c>
      <c r="B28" s="17">
        <f>B27</f>
        <v>-200000</v>
      </c>
      <c r="C28" s="17">
        <f>B28+C27</f>
        <v>-1700000</v>
      </c>
      <c r="D28" s="17">
        <f>C28+D27</f>
        <v>-11700000</v>
      </c>
      <c r="E28" s="17">
        <f>D28+E27</f>
        <v>-31700000</v>
      </c>
      <c r="F28" s="17">
        <f>E28+F27</f>
        <v>-56700000</v>
      </c>
      <c r="G28" s="17">
        <f>F28+G27</f>
        <v>-56700000</v>
      </c>
      <c r="H28" s="17">
        <f t="shared" ref="H28:O28" si="19">G28+H27</f>
        <v>-56700000</v>
      </c>
      <c r="I28" s="17">
        <f t="shared" si="19"/>
        <v>-56700000</v>
      </c>
      <c r="J28" s="17">
        <f t="shared" si="19"/>
        <v>-56700000</v>
      </c>
      <c r="K28" s="17">
        <f t="shared" si="19"/>
        <v>-56700000</v>
      </c>
      <c r="L28" s="17">
        <f t="shared" si="19"/>
        <v>-56700000</v>
      </c>
      <c r="M28" s="17">
        <f t="shared" si="19"/>
        <v>-56700000</v>
      </c>
      <c r="N28" s="17">
        <f t="shared" si="19"/>
        <v>-56700000</v>
      </c>
      <c r="O28" s="17">
        <f t="shared" si="19"/>
        <v>-56700000</v>
      </c>
    </row>
    <row r="29" spans="1:15">
      <c r="A29" s="5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18" t="s">
        <v>48</v>
      </c>
      <c r="B30" s="19">
        <f t="shared" ref="B30:G30" si="20">SUM(B31:B33)</f>
        <v>200000</v>
      </c>
      <c r="C30" s="19">
        <f t="shared" si="20"/>
        <v>1500000</v>
      </c>
      <c r="D30" s="19">
        <f t="shared" si="20"/>
        <v>10000000</v>
      </c>
      <c r="E30" s="19">
        <f t="shared" si="20"/>
        <v>20000000</v>
      </c>
      <c r="F30" s="19">
        <f t="shared" si="20"/>
        <v>25000000</v>
      </c>
      <c r="G30" s="19">
        <f t="shared" si="20"/>
        <v>0</v>
      </c>
      <c r="H30" s="19">
        <f t="shared" ref="H30:N30" si="21">SUM(H31:H33)</f>
        <v>0</v>
      </c>
      <c r="I30" s="19">
        <f t="shared" si="21"/>
        <v>0</v>
      </c>
      <c r="J30" s="19">
        <f t="shared" si="21"/>
        <v>0</v>
      </c>
      <c r="K30" s="19">
        <f t="shared" si="21"/>
        <v>0</v>
      </c>
      <c r="L30" s="19">
        <f t="shared" si="21"/>
        <v>0</v>
      </c>
      <c r="M30" s="19">
        <f t="shared" si="21"/>
        <v>0</v>
      </c>
      <c r="N30" s="19">
        <f t="shared" si="21"/>
        <v>0</v>
      </c>
      <c r="O30" s="19">
        <f t="shared" ref="O30" si="22">SUM(O31:O33)</f>
        <v>0</v>
      </c>
    </row>
    <row r="31" spans="1: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>
      <c r="A32" s="3" t="s">
        <v>52</v>
      </c>
      <c r="B32" s="4">
        <v>200000</v>
      </c>
      <c r="C32" s="4">
        <v>1500000</v>
      </c>
      <c r="D32" s="4">
        <v>10000000</v>
      </c>
      <c r="E32" s="4">
        <v>20000000</v>
      </c>
      <c r="F32" s="4">
        <v>25000000</v>
      </c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A33" s="3" t="s">
        <v>53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>
      <c r="A34" s="18" t="s">
        <v>54</v>
      </c>
      <c r="B34" s="19">
        <f t="shared" ref="B34:G34" si="23">SUM(B35:B37)</f>
        <v>0</v>
      </c>
      <c r="C34" s="19">
        <f t="shared" si="23"/>
        <v>0</v>
      </c>
      <c r="D34" s="19">
        <f t="shared" si="23"/>
        <v>0</v>
      </c>
      <c r="E34" s="19">
        <f t="shared" si="23"/>
        <v>0</v>
      </c>
      <c r="F34" s="19">
        <f t="shared" si="23"/>
        <v>0</v>
      </c>
      <c r="G34" s="19">
        <f t="shared" si="23"/>
        <v>0</v>
      </c>
      <c r="H34" s="19">
        <f t="shared" ref="H34:N34" si="24">SUM(H35:H37)</f>
        <v>0</v>
      </c>
      <c r="I34" s="19">
        <f t="shared" si="24"/>
        <v>0</v>
      </c>
      <c r="J34" s="19">
        <f t="shared" si="24"/>
        <v>0</v>
      </c>
      <c r="K34" s="19">
        <f t="shared" si="24"/>
        <v>0</v>
      </c>
      <c r="L34" s="19">
        <f t="shared" si="24"/>
        <v>0</v>
      </c>
      <c r="M34" s="19">
        <f t="shared" si="24"/>
        <v>0</v>
      </c>
      <c r="N34" s="19">
        <f t="shared" si="24"/>
        <v>0</v>
      </c>
      <c r="O34" s="19">
        <f t="shared" ref="O34" si="25">SUM(O35:O37)</f>
        <v>0</v>
      </c>
    </row>
    <row r="35" spans="1:15">
      <c r="A35" s="3" t="s">
        <v>55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3" t="s">
        <v>56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3" t="s">
        <v>57</v>
      </c>
      <c r="B37" s="4"/>
      <c r="C37" s="4"/>
      <c r="D37" s="4"/>
      <c r="E37" s="4"/>
      <c r="F37" s="4"/>
      <c r="G37" s="4"/>
      <c r="H37" s="4"/>
      <c r="I37" s="4"/>
      <c r="J37" s="4">
        <f>J33*0.028</f>
        <v>0</v>
      </c>
      <c r="K37" s="4">
        <f>(J33-K35)*0.028</f>
        <v>0</v>
      </c>
      <c r="L37" s="4"/>
      <c r="M37" s="4"/>
      <c r="N37" s="4"/>
      <c r="O37" s="4"/>
    </row>
    <row r="38" spans="1:15">
      <c r="A38" s="20" t="s">
        <v>58</v>
      </c>
      <c r="B38" s="21">
        <f t="shared" ref="B38:G38" si="26">B30-B34</f>
        <v>200000</v>
      </c>
      <c r="C38" s="21">
        <f t="shared" si="26"/>
        <v>1500000</v>
      </c>
      <c r="D38" s="21">
        <f t="shared" si="26"/>
        <v>10000000</v>
      </c>
      <c r="E38" s="21">
        <f t="shared" si="26"/>
        <v>20000000</v>
      </c>
      <c r="F38" s="21">
        <f t="shared" si="26"/>
        <v>25000000</v>
      </c>
      <c r="G38" s="21">
        <f t="shared" si="26"/>
        <v>0</v>
      </c>
      <c r="H38" s="21">
        <f t="shared" ref="H38:N38" si="27">H30-H34</f>
        <v>0</v>
      </c>
      <c r="I38" s="21">
        <f t="shared" si="27"/>
        <v>0</v>
      </c>
      <c r="J38" s="21">
        <f t="shared" si="27"/>
        <v>0</v>
      </c>
      <c r="K38" s="21">
        <f t="shared" si="27"/>
        <v>0</v>
      </c>
      <c r="L38" s="21">
        <f t="shared" si="27"/>
        <v>0</v>
      </c>
      <c r="M38" s="21">
        <f t="shared" si="27"/>
        <v>0</v>
      </c>
      <c r="N38" s="21">
        <f t="shared" si="27"/>
        <v>0</v>
      </c>
      <c r="O38" s="21">
        <f t="shared" ref="O38" si="28">O30-O34</f>
        <v>0</v>
      </c>
    </row>
    <row r="39" spans="1:15">
      <c r="A39" s="20" t="s">
        <v>46</v>
      </c>
      <c r="B39" s="21">
        <f>B38</f>
        <v>200000</v>
      </c>
      <c r="C39" s="21">
        <f>B39+C38</f>
        <v>1700000</v>
      </c>
      <c r="D39" s="21">
        <f>C39+D38</f>
        <v>11700000</v>
      </c>
      <c r="E39" s="21">
        <f>D39+E38</f>
        <v>31700000</v>
      </c>
      <c r="F39" s="21">
        <f>E39+F38</f>
        <v>56700000</v>
      </c>
      <c r="G39" s="21">
        <f>F39+G38</f>
        <v>56700000</v>
      </c>
      <c r="H39" s="21">
        <f t="shared" ref="H39:O39" si="29">G39+H38</f>
        <v>56700000</v>
      </c>
      <c r="I39" s="21">
        <f t="shared" si="29"/>
        <v>56700000</v>
      </c>
      <c r="J39" s="21">
        <f t="shared" si="29"/>
        <v>56700000</v>
      </c>
      <c r="K39" s="21">
        <f t="shared" si="29"/>
        <v>56700000</v>
      </c>
      <c r="L39" s="21">
        <f t="shared" si="29"/>
        <v>56700000</v>
      </c>
      <c r="M39" s="21">
        <f t="shared" si="29"/>
        <v>56700000</v>
      </c>
      <c r="N39" s="21">
        <f t="shared" si="29"/>
        <v>56700000</v>
      </c>
      <c r="O39" s="21">
        <f t="shared" si="29"/>
        <v>56700000</v>
      </c>
    </row>
    <row r="40" spans="1:15">
      <c r="A40" s="22" t="s">
        <v>59</v>
      </c>
      <c r="B40" s="23">
        <f t="shared" ref="B40:G40" si="30">B15+B27+B38</f>
        <v>0</v>
      </c>
      <c r="C40" s="23">
        <f t="shared" si="30"/>
        <v>0</v>
      </c>
      <c r="D40" s="23">
        <f t="shared" si="30"/>
        <v>0</v>
      </c>
      <c r="E40" s="23">
        <f t="shared" si="30"/>
        <v>0</v>
      </c>
      <c r="F40" s="23">
        <f t="shared" si="30"/>
        <v>0</v>
      </c>
      <c r="G40" s="23">
        <f t="shared" si="30"/>
        <v>4940000</v>
      </c>
      <c r="H40" s="23">
        <f t="shared" ref="H40:N40" si="31">H15+H27+H38</f>
        <v>10030000</v>
      </c>
      <c r="I40" s="23">
        <f t="shared" si="31"/>
        <v>10030000</v>
      </c>
      <c r="J40" s="23">
        <f t="shared" si="31"/>
        <v>10030000</v>
      </c>
      <c r="K40" s="23">
        <f t="shared" si="31"/>
        <v>10030000</v>
      </c>
      <c r="L40" s="23">
        <f t="shared" si="31"/>
        <v>10030000</v>
      </c>
      <c r="M40" s="23">
        <f t="shared" si="31"/>
        <v>10030000</v>
      </c>
      <c r="N40" s="23">
        <f t="shared" si="31"/>
        <v>10030000</v>
      </c>
      <c r="O40" s="23">
        <f t="shared" ref="O40" si="32">O15+O27+O38</f>
        <v>10030000</v>
      </c>
    </row>
    <row r="41" spans="1:15">
      <c r="A41" s="22" t="s">
        <v>46</v>
      </c>
      <c r="B41" s="23">
        <f>B40</f>
        <v>0</v>
      </c>
      <c r="C41" s="23">
        <f>B41+C40</f>
        <v>0</v>
      </c>
      <c r="D41" s="23">
        <f>C41+D40</f>
        <v>0</v>
      </c>
      <c r="E41" s="23">
        <f>D41+E40</f>
        <v>0</v>
      </c>
      <c r="F41" s="23">
        <f>E41+F40</f>
        <v>0</v>
      </c>
      <c r="G41" s="23">
        <f>F41+G40</f>
        <v>4940000</v>
      </c>
      <c r="H41" s="23">
        <f t="shared" ref="H41:O41" si="33">G41+H40</f>
        <v>14970000</v>
      </c>
      <c r="I41" s="23">
        <f t="shared" si="33"/>
        <v>25000000</v>
      </c>
      <c r="J41" s="23">
        <f t="shared" si="33"/>
        <v>35030000</v>
      </c>
      <c r="K41" s="23">
        <f t="shared" si="33"/>
        <v>45060000</v>
      </c>
      <c r="L41" s="23">
        <f t="shared" si="33"/>
        <v>55090000</v>
      </c>
      <c r="M41" s="23">
        <f t="shared" si="33"/>
        <v>65120000</v>
      </c>
      <c r="N41" s="23">
        <f t="shared" si="33"/>
        <v>75150000</v>
      </c>
      <c r="O41" s="23">
        <f t="shared" si="33"/>
        <v>85180000</v>
      </c>
    </row>
    <row r="42" spans="1:15">
      <c r="A42" s="24" t="s">
        <v>60</v>
      </c>
      <c r="B42" s="25">
        <f t="shared" ref="B42:O42" si="34">B3+B40</f>
        <v>0</v>
      </c>
      <c r="C42" s="25">
        <f t="shared" si="34"/>
        <v>0</v>
      </c>
      <c r="D42" s="25">
        <f t="shared" si="34"/>
        <v>0</v>
      </c>
      <c r="E42" s="25">
        <f t="shared" si="34"/>
        <v>0</v>
      </c>
      <c r="F42" s="25">
        <f t="shared" si="34"/>
        <v>0</v>
      </c>
      <c r="G42" s="25">
        <f t="shared" si="34"/>
        <v>4940000</v>
      </c>
      <c r="H42" s="25">
        <f t="shared" si="34"/>
        <v>14970000</v>
      </c>
      <c r="I42" s="25">
        <f t="shared" si="34"/>
        <v>25000000</v>
      </c>
      <c r="J42" s="25">
        <f t="shared" si="34"/>
        <v>35030000</v>
      </c>
      <c r="K42" s="25">
        <f t="shared" si="34"/>
        <v>45060000</v>
      </c>
      <c r="L42" s="25">
        <f t="shared" si="34"/>
        <v>55090000</v>
      </c>
      <c r="M42" s="25">
        <f t="shared" si="34"/>
        <v>65120000</v>
      </c>
      <c r="N42" s="25">
        <f t="shared" si="34"/>
        <v>75150000</v>
      </c>
      <c r="O42" s="25">
        <f t="shared" si="34"/>
        <v>85180000</v>
      </c>
    </row>
  </sheetData>
  <pageMargins left="0.25" right="0.25" top="0.75" bottom="0.75" header="0.3" footer="0.3"/>
  <pageSetup paperSize="9" scale="6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A25"/>
    </sheetView>
  </sheetViews>
  <sheetFormatPr baseColWidth="10" defaultColWidth="8.83203125" defaultRowHeight="14" x14ac:dyDescent="0"/>
  <cols>
    <col min="1" max="1" width="58.6640625" customWidth="1"/>
    <col min="2" max="2" width="15.1640625" customWidth="1"/>
    <col min="3" max="3" width="13.6640625" customWidth="1"/>
    <col min="4" max="4" width="15.33203125" customWidth="1"/>
    <col min="5" max="6" width="14.83203125" customWidth="1"/>
    <col min="7" max="7" width="16.1640625" customWidth="1"/>
    <col min="8" max="8" width="16" customWidth="1"/>
  </cols>
  <sheetData>
    <row r="1" spans="1:8" ht="18">
      <c r="A1" s="26" t="s">
        <v>35</v>
      </c>
      <c r="B1" s="2">
        <v>2024</v>
      </c>
      <c r="C1" s="2">
        <v>2025</v>
      </c>
      <c r="D1" s="2">
        <v>2026</v>
      </c>
      <c r="E1" s="2">
        <v>2027</v>
      </c>
      <c r="F1" s="2">
        <v>2029</v>
      </c>
      <c r="G1" s="2">
        <v>2030</v>
      </c>
      <c r="H1" s="2">
        <v>2031</v>
      </c>
    </row>
    <row r="2" spans="1:8">
      <c r="A2" s="27" t="s">
        <v>22</v>
      </c>
      <c r="B2" s="28">
        <f>SUM(B3:B4)</f>
        <v>10000000</v>
      </c>
      <c r="C2" s="28">
        <f t="shared" ref="C2:H2" si="0">SUM(C3:C4)</f>
        <v>20000000</v>
      </c>
      <c r="D2" s="28">
        <f t="shared" si="0"/>
        <v>20000000</v>
      </c>
      <c r="E2" s="28">
        <f t="shared" si="0"/>
        <v>20000000</v>
      </c>
      <c r="F2" s="28">
        <f t="shared" si="0"/>
        <v>20000000</v>
      </c>
      <c r="G2" s="28">
        <f t="shared" si="0"/>
        <v>20000000</v>
      </c>
      <c r="H2" s="28">
        <f t="shared" si="0"/>
        <v>20000000</v>
      </c>
    </row>
    <row r="3" spans="1:8">
      <c r="A3" s="3" t="s">
        <v>23</v>
      </c>
      <c r="B3" s="4">
        <f>БДДС!G6</f>
        <v>10000000</v>
      </c>
      <c r="C3" s="4">
        <f>БДДС!H6</f>
        <v>20000000</v>
      </c>
      <c r="D3" s="4">
        <f>БДДС!I6</f>
        <v>20000000</v>
      </c>
      <c r="E3" s="4">
        <f>БДДС!J6</f>
        <v>20000000</v>
      </c>
      <c r="F3" s="4">
        <f>БДДС!K6</f>
        <v>20000000</v>
      </c>
      <c r="G3" s="4">
        <f>БДДС!L6</f>
        <v>20000000</v>
      </c>
      <c r="H3" s="4">
        <f>БДДС!M6</f>
        <v>20000000</v>
      </c>
    </row>
    <row r="4" spans="1:8">
      <c r="A4" s="3"/>
      <c r="B4" s="4"/>
      <c r="C4" s="4"/>
      <c r="D4" s="4"/>
      <c r="E4" s="4"/>
      <c r="F4" s="4"/>
      <c r="G4" s="4"/>
      <c r="H4" s="4"/>
    </row>
    <row r="5" spans="1:8">
      <c r="A5" s="29" t="s">
        <v>24</v>
      </c>
      <c r="B5" s="30">
        <f>B6*B7</f>
        <v>4900000</v>
      </c>
      <c r="C5" s="30">
        <f>C6*C7</f>
        <v>9800000</v>
      </c>
      <c r="D5" s="30">
        <f t="shared" ref="D5:H5" si="1">D6*D7</f>
        <v>9800000</v>
      </c>
      <c r="E5" s="30">
        <f t="shared" si="1"/>
        <v>9800000</v>
      </c>
      <c r="F5" s="30">
        <f t="shared" si="1"/>
        <v>9800000</v>
      </c>
      <c r="G5" s="30">
        <f t="shared" si="1"/>
        <v>9800000</v>
      </c>
      <c r="H5" s="30">
        <f t="shared" si="1"/>
        <v>9800000</v>
      </c>
    </row>
    <row r="6" spans="1:8">
      <c r="A6" s="3" t="s">
        <v>26</v>
      </c>
      <c r="B6" s="4">
        <f>БДДС!G9</f>
        <v>10</v>
      </c>
      <c r="C6" s="4">
        <f>БДДС!H9</f>
        <v>20</v>
      </c>
      <c r="D6" s="4">
        <f>БДДС!I9</f>
        <v>20</v>
      </c>
      <c r="E6" s="4">
        <f>БДДС!J9</f>
        <v>20</v>
      </c>
      <c r="F6" s="4">
        <f>БДДС!K9</f>
        <v>20</v>
      </c>
      <c r="G6" s="4">
        <f>БДДС!L9</f>
        <v>20</v>
      </c>
      <c r="H6" s="4">
        <f>БДДС!M9</f>
        <v>20</v>
      </c>
    </row>
    <row r="7" spans="1:8">
      <c r="A7" s="3" t="s">
        <v>25</v>
      </c>
      <c r="B7" s="4">
        <f>БДДС!G10</f>
        <v>490000</v>
      </c>
      <c r="C7" s="4">
        <f>БДДС!H10</f>
        <v>490000</v>
      </c>
      <c r="D7" s="4">
        <f>БДДС!I10</f>
        <v>490000</v>
      </c>
      <c r="E7" s="4">
        <f>БДДС!J10</f>
        <v>490000</v>
      </c>
      <c r="F7" s="4">
        <f>БДДС!K10</f>
        <v>490000</v>
      </c>
      <c r="G7" s="4">
        <f>БДДС!L10</f>
        <v>490000</v>
      </c>
      <c r="H7" s="4">
        <f>БДДС!M10</f>
        <v>490000</v>
      </c>
    </row>
    <row r="8" spans="1:8">
      <c r="A8" s="31" t="s">
        <v>27</v>
      </c>
      <c r="B8" s="97">
        <f t="shared" ref="B8:H8" si="2">B2-B5</f>
        <v>5100000</v>
      </c>
      <c r="C8" s="97">
        <f t="shared" si="2"/>
        <v>10200000</v>
      </c>
      <c r="D8" s="97">
        <f t="shared" si="2"/>
        <v>10200000</v>
      </c>
      <c r="E8" s="97">
        <f t="shared" si="2"/>
        <v>10200000</v>
      </c>
      <c r="F8" s="97">
        <f t="shared" si="2"/>
        <v>10200000</v>
      </c>
      <c r="G8" s="97">
        <f t="shared" si="2"/>
        <v>10200000</v>
      </c>
      <c r="H8" s="97">
        <f t="shared" si="2"/>
        <v>10200000</v>
      </c>
    </row>
    <row r="9" spans="1:8">
      <c r="A9" s="32" t="s">
        <v>0</v>
      </c>
      <c r="B9" s="97">
        <f t="shared" ref="B9:H9" si="3">B8/B2*100</f>
        <v>51</v>
      </c>
      <c r="C9" s="97">
        <f t="shared" si="3"/>
        <v>51</v>
      </c>
      <c r="D9" s="97">
        <f t="shared" si="3"/>
        <v>51</v>
      </c>
      <c r="E9" s="97">
        <f t="shared" si="3"/>
        <v>51</v>
      </c>
      <c r="F9" s="97">
        <f t="shared" si="3"/>
        <v>51</v>
      </c>
      <c r="G9" s="97">
        <f t="shared" si="3"/>
        <v>51</v>
      </c>
      <c r="H9" s="97">
        <f t="shared" si="3"/>
        <v>51</v>
      </c>
    </row>
    <row r="10" spans="1:8">
      <c r="A10" s="33" t="s">
        <v>28</v>
      </c>
      <c r="B10" s="30">
        <f t="shared" ref="B10:H10" si="4">SUM(B11:B12)</f>
        <v>10000</v>
      </c>
      <c r="C10" s="30">
        <f t="shared" si="4"/>
        <v>20000</v>
      </c>
      <c r="D10" s="30">
        <f t="shared" si="4"/>
        <v>20000</v>
      </c>
      <c r="E10" s="30">
        <f t="shared" si="4"/>
        <v>20000</v>
      </c>
      <c r="F10" s="30">
        <f t="shared" si="4"/>
        <v>20000</v>
      </c>
      <c r="G10" s="30">
        <f t="shared" si="4"/>
        <v>20000</v>
      </c>
      <c r="H10" s="30">
        <f t="shared" si="4"/>
        <v>20000</v>
      </c>
    </row>
    <row r="11" spans="1:8">
      <c r="A11" s="3" t="s">
        <v>29</v>
      </c>
      <c r="B11" s="4">
        <f>БДДС!G12</f>
        <v>10000</v>
      </c>
      <c r="C11" s="4">
        <f>БДДС!H12</f>
        <v>20000</v>
      </c>
      <c r="D11" s="4">
        <f>БДДС!I12</f>
        <v>20000</v>
      </c>
      <c r="E11" s="4">
        <f>БДДС!J12</f>
        <v>20000</v>
      </c>
      <c r="F11" s="4">
        <f>БДДС!K12</f>
        <v>20000</v>
      </c>
      <c r="G11" s="4">
        <f>БДДС!L12</f>
        <v>20000</v>
      </c>
      <c r="H11" s="4">
        <f>БДДС!M12</f>
        <v>20000</v>
      </c>
    </row>
    <row r="12" spans="1:8">
      <c r="A12" s="3" t="s">
        <v>30</v>
      </c>
      <c r="B12" s="4">
        <f>БДДС!G13</f>
        <v>0</v>
      </c>
      <c r="C12" s="4">
        <f>БДДС!H13</f>
        <v>0</v>
      </c>
      <c r="D12" s="4">
        <f>БДДС!I13</f>
        <v>0</v>
      </c>
      <c r="E12" s="4">
        <f>БДДС!J13</f>
        <v>0</v>
      </c>
      <c r="F12" s="4">
        <f>БДДС!K13</f>
        <v>0</v>
      </c>
      <c r="G12" s="4">
        <f>БДДС!L13</f>
        <v>0</v>
      </c>
      <c r="H12" s="4">
        <f>БДДС!M13</f>
        <v>0</v>
      </c>
    </row>
    <row r="13" spans="1:8">
      <c r="A13" s="33" t="s">
        <v>31</v>
      </c>
      <c r="B13" s="30">
        <f>БДДС!G14</f>
        <v>150000</v>
      </c>
      <c r="C13" s="30">
        <f>БДДС!H14</f>
        <v>150000</v>
      </c>
      <c r="D13" s="30">
        <f>БДДС!I14</f>
        <v>150000</v>
      </c>
      <c r="E13" s="30">
        <f>БДДС!J14</f>
        <v>150000</v>
      </c>
      <c r="F13" s="30">
        <f>БДДС!K14</f>
        <v>150000</v>
      </c>
      <c r="G13" s="30">
        <f>БДДС!L14</f>
        <v>150000</v>
      </c>
      <c r="H13" s="30">
        <f>БДДС!M14</f>
        <v>150000</v>
      </c>
    </row>
    <row r="14" spans="1:8">
      <c r="A14" s="31" t="s">
        <v>1</v>
      </c>
      <c r="B14" s="97">
        <f t="shared" ref="B14:H14" si="5">B8-B10-B13</f>
        <v>4940000</v>
      </c>
      <c r="C14" s="97">
        <f t="shared" si="5"/>
        <v>10030000</v>
      </c>
      <c r="D14" s="97">
        <f t="shared" si="5"/>
        <v>10030000</v>
      </c>
      <c r="E14" s="97">
        <f t="shared" si="5"/>
        <v>10030000</v>
      </c>
      <c r="F14" s="97">
        <f t="shared" si="5"/>
        <v>10030000</v>
      </c>
      <c r="G14" s="97">
        <f t="shared" si="5"/>
        <v>10030000</v>
      </c>
      <c r="H14" s="97">
        <f t="shared" si="5"/>
        <v>10030000</v>
      </c>
    </row>
    <row r="15" spans="1:8">
      <c r="A15" s="32" t="s">
        <v>0</v>
      </c>
      <c r="B15" s="96">
        <f t="shared" ref="B15:H15" si="6">B14/B2*100</f>
        <v>49.4</v>
      </c>
      <c r="C15" s="96">
        <f t="shared" si="6"/>
        <v>50.149999999999991</v>
      </c>
      <c r="D15" s="96">
        <f t="shared" si="6"/>
        <v>50.149999999999991</v>
      </c>
      <c r="E15" s="96">
        <f t="shared" si="6"/>
        <v>50.149999999999991</v>
      </c>
      <c r="F15" s="96">
        <f t="shared" si="6"/>
        <v>50.149999999999991</v>
      </c>
      <c r="G15" s="96">
        <f t="shared" si="6"/>
        <v>50.149999999999991</v>
      </c>
      <c r="H15" s="96">
        <f t="shared" si="6"/>
        <v>50.149999999999991</v>
      </c>
    </row>
    <row r="16" spans="1:8">
      <c r="A16" s="3" t="s">
        <v>32</v>
      </c>
      <c r="B16" s="4">
        <v>3000000</v>
      </c>
      <c r="C16" s="4">
        <v>3000000</v>
      </c>
      <c r="D16" s="4">
        <v>3000000</v>
      </c>
      <c r="E16" s="4">
        <v>3000000</v>
      </c>
      <c r="F16" s="4">
        <v>3000000</v>
      </c>
      <c r="G16" s="4">
        <v>3000000</v>
      </c>
      <c r="H16" s="4">
        <v>3000000</v>
      </c>
    </row>
    <row r="17" spans="1:8">
      <c r="A17" s="3"/>
      <c r="B17" s="4"/>
      <c r="C17" s="4"/>
      <c r="D17" s="4"/>
      <c r="E17" s="4"/>
      <c r="F17" s="4"/>
      <c r="G17" s="4"/>
      <c r="H17" s="4"/>
    </row>
    <row r="18" spans="1:8">
      <c r="A18" s="3" t="s">
        <v>33</v>
      </c>
      <c r="B18" s="4">
        <v>2660000</v>
      </c>
      <c r="C18" s="4">
        <v>2660000</v>
      </c>
      <c r="D18" s="4">
        <v>2660000</v>
      </c>
      <c r="E18" s="4">
        <v>2660000</v>
      </c>
      <c r="F18" s="4">
        <v>2660000</v>
      </c>
      <c r="G18" s="4">
        <v>2660000</v>
      </c>
      <c r="H18" s="4">
        <v>2660000</v>
      </c>
    </row>
    <row r="19" spans="1:8">
      <c r="A19" s="31" t="s">
        <v>2</v>
      </c>
      <c r="B19" s="97">
        <f>B14-SUM(B16:B18)</f>
        <v>-720000</v>
      </c>
      <c r="C19" s="97">
        <f>C14-SUM(C16:C18)</f>
        <v>4370000</v>
      </c>
      <c r="D19" s="97">
        <f>D14-SUM(D16:D18)</f>
        <v>4370000</v>
      </c>
      <c r="E19" s="97">
        <f>E14-SUM(E16:E18)</f>
        <v>4370000</v>
      </c>
      <c r="F19" s="97">
        <f>F14-SUM(F16:F18)</f>
        <v>4370000</v>
      </c>
      <c r="G19" s="97">
        <f>G14-SUM(G16:G18)</f>
        <v>4370000</v>
      </c>
      <c r="H19" s="97">
        <f>H14-SUM(H16:H18)</f>
        <v>4370000</v>
      </c>
    </row>
    <row r="20" spans="1:8">
      <c r="A20" s="32" t="s">
        <v>0</v>
      </c>
      <c r="B20" s="96">
        <f>B19/B2*100</f>
        <v>-7.1999999999999993</v>
      </c>
      <c r="C20" s="96">
        <f>C19/C2*100</f>
        <v>21.85</v>
      </c>
      <c r="D20" s="96">
        <f>D19/D2*100</f>
        <v>21.85</v>
      </c>
      <c r="E20" s="96">
        <f>E19/E2*100</f>
        <v>21.85</v>
      </c>
      <c r="F20" s="96">
        <f>F19/F2*100</f>
        <v>21.85</v>
      </c>
      <c r="G20" s="96">
        <f>G19/G2*100</f>
        <v>21.85</v>
      </c>
      <c r="H20" s="96">
        <f>H19/H2*100</f>
        <v>21.85</v>
      </c>
    </row>
    <row r="21" spans="1:8">
      <c r="A21" s="34"/>
      <c r="B21" s="4"/>
      <c r="C21" s="4"/>
      <c r="D21" s="4"/>
      <c r="E21" s="4"/>
      <c r="F21" s="4"/>
      <c r="G21" s="4"/>
      <c r="H21" s="4"/>
    </row>
    <row r="22" spans="1:8">
      <c r="A22" s="34"/>
      <c r="B22" s="4"/>
      <c r="C22" s="4"/>
      <c r="D22" s="4"/>
      <c r="E22" s="4"/>
      <c r="F22" s="4"/>
      <c r="G22" s="4"/>
      <c r="H22" s="4"/>
    </row>
    <row r="23" spans="1:8">
      <c r="A23" s="31" t="s">
        <v>34</v>
      </c>
      <c r="B23" s="97">
        <f>B19-SUM(B21:B22)</f>
        <v>-720000</v>
      </c>
      <c r="C23" s="97">
        <f t="shared" ref="C23:G23" si="7">C19-SUM(C21:C22)</f>
        <v>4370000</v>
      </c>
      <c r="D23" s="97">
        <f t="shared" si="7"/>
        <v>4370000</v>
      </c>
      <c r="E23" s="97">
        <f t="shared" si="7"/>
        <v>4370000</v>
      </c>
      <c r="F23" s="97">
        <f t="shared" si="7"/>
        <v>4370000</v>
      </c>
      <c r="G23" s="97">
        <f t="shared" si="7"/>
        <v>4370000</v>
      </c>
      <c r="H23" s="97">
        <f t="shared" ref="H23" si="8">H19-SUM(H21:H22)</f>
        <v>4370000</v>
      </c>
    </row>
    <row r="24" spans="1:8">
      <c r="A24" s="32" t="s">
        <v>0</v>
      </c>
      <c r="B24" s="96">
        <f>B23/B2*100</f>
        <v>-7.1999999999999993</v>
      </c>
      <c r="C24" s="96">
        <f>C23/C2*100</f>
        <v>21.85</v>
      </c>
      <c r="D24" s="96">
        <f>D23/D2*100</f>
        <v>21.85</v>
      </c>
      <c r="E24" s="96">
        <f>E23/E2*100</f>
        <v>21.85</v>
      </c>
      <c r="F24" s="96">
        <f>F23/F2*100</f>
        <v>21.85</v>
      </c>
      <c r="G24" s="96">
        <f>G23/G2*100</f>
        <v>21.85</v>
      </c>
      <c r="H24" s="96">
        <f>H23/H2*100</f>
        <v>21.85</v>
      </c>
    </row>
    <row r="25" spans="1:8">
      <c r="A25" s="3"/>
      <c r="B25" s="4"/>
      <c r="C25" s="4"/>
      <c r="D25" s="4"/>
      <c r="E25" s="4"/>
      <c r="F25" s="4"/>
      <c r="G25" s="4"/>
      <c r="H25" s="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>
      <selection activeCell="Q1" sqref="Q1:Q2"/>
    </sheetView>
  </sheetViews>
  <sheetFormatPr baseColWidth="10" defaultColWidth="8.83203125" defaultRowHeight="12" x14ac:dyDescent="0"/>
  <cols>
    <col min="1" max="1" width="31.5" style="38" customWidth="1"/>
    <col min="2" max="7" width="11.1640625" style="38" customWidth="1"/>
    <col min="8" max="8" width="10.33203125" style="38" customWidth="1"/>
    <col min="9" max="14" width="11.5" style="38" customWidth="1"/>
    <col min="15" max="15" width="13.5" style="38" customWidth="1"/>
    <col min="16" max="16" width="11.5" style="38" customWidth="1"/>
    <col min="17" max="18" width="13.6640625" style="38" customWidth="1"/>
    <col min="19" max="19" width="11.6640625" style="38" customWidth="1"/>
    <col min="20" max="20" width="16.1640625" style="38" customWidth="1"/>
    <col min="21" max="21" width="14.1640625" style="38" customWidth="1"/>
    <col min="22" max="22" width="12.6640625" style="38" customWidth="1"/>
    <col min="23" max="23" width="13.1640625" style="38" customWidth="1"/>
    <col min="24" max="24" width="11" style="38" customWidth="1"/>
    <col min="25" max="25" width="12.6640625" style="38" customWidth="1"/>
    <col min="26" max="26" width="15.5" style="38" customWidth="1"/>
    <col min="27" max="16384" width="8.83203125" style="38"/>
  </cols>
  <sheetData>
    <row r="1" spans="1:26" ht="13">
      <c r="A1" s="35"/>
      <c r="B1" s="35"/>
      <c r="C1" s="35"/>
      <c r="D1" s="35"/>
      <c r="E1" s="35"/>
      <c r="F1" s="35"/>
      <c r="G1" s="98"/>
      <c r="H1" s="36"/>
      <c r="I1" s="36"/>
      <c r="J1" s="36"/>
      <c r="K1" s="36"/>
      <c r="L1" s="36"/>
      <c r="M1" s="36"/>
      <c r="N1" s="36"/>
      <c r="O1" s="36"/>
      <c r="P1" s="36"/>
      <c r="Q1" s="37" t="s">
        <v>10</v>
      </c>
    </row>
    <row r="2" spans="1:26" ht="13">
      <c r="A2" s="39"/>
      <c r="B2" s="40">
        <v>2019</v>
      </c>
      <c r="C2" s="40">
        <v>2020</v>
      </c>
      <c r="D2" s="40">
        <v>2021</v>
      </c>
      <c r="E2" s="40">
        <v>2022</v>
      </c>
      <c r="F2" s="40">
        <v>2023</v>
      </c>
      <c r="G2" s="40">
        <v>2024</v>
      </c>
      <c r="H2" s="41">
        <v>2025</v>
      </c>
      <c r="I2" s="41">
        <v>2026</v>
      </c>
      <c r="J2" s="41">
        <v>2027</v>
      </c>
      <c r="K2" s="41">
        <v>2028</v>
      </c>
      <c r="L2" s="41">
        <v>2029</v>
      </c>
      <c r="M2" s="41">
        <v>2030</v>
      </c>
      <c r="N2" s="41">
        <v>2031</v>
      </c>
      <c r="O2" s="41">
        <v>2032</v>
      </c>
      <c r="P2" s="41">
        <v>2033</v>
      </c>
      <c r="Q2" s="42" t="s">
        <v>11</v>
      </c>
    </row>
    <row r="3" spans="1:26" ht="13">
      <c r="A3" s="43"/>
      <c r="B3" s="44"/>
      <c r="C3" s="44"/>
      <c r="D3" s="44"/>
      <c r="E3" s="44"/>
      <c r="F3" s="44"/>
      <c r="G3" s="44"/>
      <c r="Q3" s="45"/>
      <c r="T3" s="46"/>
      <c r="U3" s="47"/>
      <c r="V3" s="48"/>
      <c r="W3" s="48"/>
      <c r="X3" s="46"/>
      <c r="Y3" s="49"/>
      <c r="Z3" s="47"/>
    </row>
    <row r="4" spans="1:26" ht="13">
      <c r="A4" s="50" t="s">
        <v>19</v>
      </c>
      <c r="B4" s="51"/>
      <c r="C4" s="51"/>
      <c r="D4" s="51"/>
      <c r="E4" s="51"/>
      <c r="F4" s="51"/>
      <c r="G4" s="102">
        <f>БДДС!G5/1000</f>
        <v>10000</v>
      </c>
      <c r="H4" s="102">
        <f>БДДС!H5/1000</f>
        <v>20000</v>
      </c>
      <c r="I4" s="102">
        <f>БДДС!I5/1000</f>
        <v>20000</v>
      </c>
      <c r="J4" s="102">
        <f>БДДС!J5/1000</f>
        <v>20000</v>
      </c>
      <c r="K4" s="102">
        <f>БДДС!K5/1000</f>
        <v>20000</v>
      </c>
      <c r="L4" s="102">
        <f>БДДС!L5/1000</f>
        <v>20000</v>
      </c>
      <c r="M4" s="102">
        <f>БДДС!M5/1000</f>
        <v>20000</v>
      </c>
      <c r="N4" s="102">
        <f>БДДС!N5/1000</f>
        <v>20000</v>
      </c>
      <c r="O4" s="102">
        <f>БДДС!O5/1000</f>
        <v>20000</v>
      </c>
      <c r="P4" s="102">
        <f>O4</f>
        <v>20000</v>
      </c>
      <c r="Q4" s="52">
        <f>SUM(B4:P4)</f>
        <v>190000</v>
      </c>
      <c r="T4" s="53"/>
      <c r="U4" s="47"/>
      <c r="V4" s="48"/>
      <c r="W4" s="48"/>
      <c r="X4" s="46"/>
      <c r="Y4" s="49"/>
      <c r="Z4" s="47"/>
    </row>
    <row r="5" spans="1:26" ht="13">
      <c r="A5" s="43"/>
      <c r="B5" s="44"/>
      <c r="C5" s="44"/>
      <c r="D5" s="44"/>
      <c r="E5" s="44"/>
      <c r="F5" s="44"/>
      <c r="G5" s="44"/>
      <c r="Q5" s="52">
        <f t="shared" ref="Q5:Q10" si="0">SUM(B5:P5)</f>
        <v>0</v>
      </c>
      <c r="T5" s="46"/>
      <c r="U5" s="47"/>
      <c r="V5" s="48"/>
      <c r="W5" s="48"/>
      <c r="X5" s="46"/>
      <c r="Y5" s="49"/>
      <c r="Z5" s="47"/>
    </row>
    <row r="6" spans="1:26" ht="13">
      <c r="A6" s="43" t="s">
        <v>12</v>
      </c>
      <c r="B6" s="44"/>
      <c r="C6" s="44"/>
      <c r="D6" s="44"/>
      <c r="E6" s="44"/>
      <c r="F6" s="44"/>
      <c r="G6" s="101">
        <f>-(БДДС!G8+БДДС!G14)/1000</f>
        <v>-5050</v>
      </c>
      <c r="H6" s="101">
        <f>-(БДДС!H8+БДДС!H14)/1000</f>
        <v>-9950</v>
      </c>
      <c r="I6" s="101">
        <f>-(БДДС!I8+БДДС!I14)/1000</f>
        <v>-9950</v>
      </c>
      <c r="J6" s="101">
        <f>-(БДДС!J8+БДДС!J14)/1000</f>
        <v>-9950</v>
      </c>
      <c r="K6" s="101">
        <f>-(БДДС!K8+БДДС!K14)/1000</f>
        <v>-9950</v>
      </c>
      <c r="L6" s="101">
        <f>-(БДДС!L8+БДДС!L14)/1000</f>
        <v>-9950</v>
      </c>
      <c r="M6" s="101">
        <f>-(БДДС!M8+БДДС!M14)/1000</f>
        <v>-9950</v>
      </c>
      <c r="N6" s="101">
        <f>-(БДДС!N8+БДДС!N14)/1000</f>
        <v>-9950</v>
      </c>
      <c r="O6" s="101">
        <f>-(БДДС!O8+БДДС!O14)/1000</f>
        <v>-9950</v>
      </c>
      <c r="P6" s="101">
        <f>O6</f>
        <v>-9950</v>
      </c>
      <c r="Q6" s="52">
        <f t="shared" si="0"/>
        <v>-94600</v>
      </c>
      <c r="S6" s="54"/>
      <c r="T6" s="46"/>
      <c r="U6" s="47"/>
      <c r="V6" s="48"/>
      <c r="W6" s="48"/>
      <c r="X6" s="46"/>
      <c r="Y6" s="49"/>
      <c r="Z6" s="47"/>
    </row>
    <row r="7" spans="1:26" ht="15.75" customHeight="1">
      <c r="A7" s="43" t="s">
        <v>13</v>
      </c>
      <c r="B7" s="44"/>
      <c r="C7" s="44"/>
      <c r="D7" s="44"/>
      <c r="E7" s="44"/>
      <c r="F7" s="44"/>
      <c r="G7" s="100">
        <f>-БДДС!G11/1000</f>
        <v>-10</v>
      </c>
      <c r="H7" s="100">
        <f>-БДДС!H11/1000</f>
        <v>-20</v>
      </c>
      <c r="I7" s="100">
        <f>-БДДС!I11/1000</f>
        <v>-20</v>
      </c>
      <c r="J7" s="100">
        <f>-БДДС!J11/1000</f>
        <v>-20</v>
      </c>
      <c r="K7" s="100">
        <f>-БДДС!K11/1000</f>
        <v>-20</v>
      </c>
      <c r="L7" s="100">
        <f>-БДДС!L11/1000</f>
        <v>-20</v>
      </c>
      <c r="M7" s="100">
        <f>-БДДС!M11/1000</f>
        <v>-20</v>
      </c>
      <c r="N7" s="100">
        <f>-БДДС!N11/1000</f>
        <v>-20</v>
      </c>
      <c r="O7" s="100">
        <f>-БДДС!O11/1000</f>
        <v>-20</v>
      </c>
      <c r="P7" s="100">
        <f>O7</f>
        <v>-20</v>
      </c>
      <c r="Q7" s="52">
        <f t="shared" si="0"/>
        <v>-190</v>
      </c>
      <c r="T7" s="46"/>
      <c r="U7" s="47"/>
      <c r="V7" s="48"/>
      <c r="W7" s="48"/>
      <c r="X7" s="46"/>
      <c r="Y7" s="49"/>
      <c r="Z7" s="47"/>
    </row>
    <row r="8" spans="1:26" ht="15.75" customHeight="1">
      <c r="A8" s="43" t="s">
        <v>14</v>
      </c>
      <c r="B8" s="44"/>
      <c r="C8" s="44"/>
      <c r="D8" s="44"/>
      <c r="E8" s="44"/>
      <c r="F8" s="44"/>
      <c r="G8" s="44"/>
      <c r="J8" s="100">
        <f>-БДДС!J37/1000</f>
        <v>0</v>
      </c>
      <c r="Q8" s="52">
        <f t="shared" si="0"/>
        <v>0</v>
      </c>
      <c r="T8" s="46"/>
      <c r="U8" s="47"/>
      <c r="V8" s="48"/>
      <c r="W8" s="48"/>
      <c r="X8" s="46"/>
      <c r="Y8" s="49"/>
      <c r="Z8" s="47"/>
    </row>
    <row r="9" spans="1:26" ht="13.5" customHeight="1">
      <c r="A9" s="43" t="s">
        <v>15</v>
      </c>
      <c r="B9" s="44"/>
      <c r="C9" s="44"/>
      <c r="D9" s="44"/>
      <c r="E9" s="44"/>
      <c r="F9" s="44"/>
      <c r="G9" s="44"/>
      <c r="K9" s="100">
        <f>-БДДС!K36</f>
        <v>0</v>
      </c>
      <c r="L9" s="100">
        <f>-БДДС!L36/1000</f>
        <v>0</v>
      </c>
      <c r="M9" s="100">
        <f>-БДДС!M36/1000</f>
        <v>0</v>
      </c>
      <c r="N9" s="100">
        <f>-БДДС!N36/1000</f>
        <v>0</v>
      </c>
      <c r="O9" s="100">
        <f>-БДДС!O36/1000</f>
        <v>0</v>
      </c>
      <c r="P9" s="100">
        <f>O9</f>
        <v>0</v>
      </c>
      <c r="Q9" s="52">
        <f t="shared" si="0"/>
        <v>0</v>
      </c>
      <c r="T9" s="46"/>
      <c r="U9" s="47"/>
      <c r="V9" s="48"/>
      <c r="W9" s="48"/>
      <c r="X9" s="46"/>
      <c r="Y9" s="49"/>
      <c r="Z9" s="47"/>
    </row>
    <row r="10" spans="1:26" ht="15" customHeight="1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2">
        <f t="shared" si="0"/>
        <v>0</v>
      </c>
      <c r="T10" s="46"/>
      <c r="U10" s="47"/>
      <c r="V10" s="48"/>
      <c r="W10" s="48"/>
      <c r="X10" s="46"/>
      <c r="Y10" s="49"/>
      <c r="Z10" s="47"/>
    </row>
    <row r="11" spans="1:26" ht="13">
      <c r="A11" s="57" t="s">
        <v>16</v>
      </c>
      <c r="B11" s="56">
        <f>B4+B6+B7+B10+B8</f>
        <v>0</v>
      </c>
      <c r="C11" s="56">
        <f t="shared" ref="C11:I11" si="1">C4+C6+C7+C10+C8</f>
        <v>0</v>
      </c>
      <c r="D11" s="56">
        <f t="shared" si="1"/>
        <v>0</v>
      </c>
      <c r="E11" s="56">
        <f t="shared" si="1"/>
        <v>0</v>
      </c>
      <c r="F11" s="56">
        <f t="shared" si="1"/>
        <v>0</v>
      </c>
      <c r="G11" s="56">
        <f t="shared" si="1"/>
        <v>4940</v>
      </c>
      <c r="H11" s="56">
        <f t="shared" si="1"/>
        <v>10030</v>
      </c>
      <c r="I11" s="56">
        <f t="shared" si="1"/>
        <v>10030</v>
      </c>
      <c r="J11" s="56">
        <f>J4+SUM(J5:J9)</f>
        <v>10030</v>
      </c>
      <c r="K11" s="56">
        <f t="shared" ref="K11:P11" si="2">K4+SUM(K5:K9)</f>
        <v>10030</v>
      </c>
      <c r="L11" s="56">
        <f t="shared" si="2"/>
        <v>10030</v>
      </c>
      <c r="M11" s="56">
        <f t="shared" si="2"/>
        <v>10030</v>
      </c>
      <c r="N11" s="56">
        <f t="shared" si="2"/>
        <v>10030</v>
      </c>
      <c r="O11" s="56">
        <f t="shared" si="2"/>
        <v>10030</v>
      </c>
      <c r="P11" s="56">
        <f t="shared" si="2"/>
        <v>10030</v>
      </c>
      <c r="Q11" s="99">
        <f t="shared" ref="Q11" si="3">SUM(Q4:Q10)</f>
        <v>95210</v>
      </c>
      <c r="R11" s="58"/>
      <c r="S11" s="59"/>
      <c r="T11" s="46"/>
      <c r="U11" s="47"/>
      <c r="V11" s="48"/>
      <c r="W11" s="48"/>
      <c r="X11" s="46"/>
      <c r="Y11" s="49"/>
      <c r="Z11" s="47"/>
    </row>
    <row r="12" spans="1:26" ht="18.75" customHeight="1">
      <c r="A12" s="43"/>
      <c r="B12" s="44"/>
      <c r="C12" s="44"/>
      <c r="Q12" s="60"/>
      <c r="R12" s="44"/>
      <c r="S12" s="44"/>
      <c r="T12" s="46"/>
      <c r="U12" s="47"/>
      <c r="V12" s="48"/>
      <c r="W12" s="48"/>
      <c r="X12" s="46"/>
      <c r="Y12" s="49"/>
      <c r="Z12" s="47"/>
    </row>
    <row r="13" spans="1:26" s="63" customFormat="1" ht="0.75" customHeight="1">
      <c r="A13" s="61"/>
      <c r="B13" s="62"/>
      <c r="C13" s="62"/>
      <c r="D13" s="62"/>
      <c r="E13" s="62"/>
      <c r="F13" s="62"/>
      <c r="G13" s="62"/>
      <c r="Q13" s="64">
        <f>SUM(B13:P13)</f>
        <v>0</v>
      </c>
      <c r="R13" s="65"/>
      <c r="S13" s="65"/>
      <c r="T13" s="46"/>
      <c r="U13" s="47"/>
      <c r="V13" s="48"/>
      <c r="W13" s="66"/>
      <c r="X13" s="46"/>
      <c r="Y13" s="49"/>
      <c r="Z13" s="47"/>
    </row>
    <row r="14" spans="1:26" s="63" customFormat="1" ht="12" customHeight="1">
      <c r="A14" s="61"/>
      <c r="B14" s="67"/>
      <c r="C14" s="67"/>
      <c r="D14" s="67"/>
      <c r="E14" s="67"/>
      <c r="F14" s="67"/>
      <c r="G14" s="67"/>
      <c r="Q14" s="64"/>
      <c r="R14" s="65"/>
      <c r="S14" s="65"/>
      <c r="T14" s="46"/>
      <c r="U14" s="47"/>
      <c r="V14" s="48"/>
      <c r="W14" s="66"/>
      <c r="X14" s="46"/>
      <c r="Y14" s="49"/>
      <c r="Z14" s="47"/>
    </row>
    <row r="15" spans="1:26" ht="13">
      <c r="A15" s="68" t="s">
        <v>17</v>
      </c>
      <c r="B15" s="69">
        <f>-БДДС!B21/1000</f>
        <v>-200</v>
      </c>
      <c r="C15" s="69">
        <f>-БДДС!C21/1000</f>
        <v>-1500</v>
      </c>
      <c r="D15" s="69">
        <f>-БДДС!D21/1000</f>
        <v>-10000</v>
      </c>
      <c r="E15" s="69">
        <f>-БДДС!E21/1000</f>
        <v>-20000</v>
      </c>
      <c r="F15" s="69">
        <f>-БДДС!F21/1000</f>
        <v>-25000</v>
      </c>
      <c r="G15" s="69">
        <f>-БДДС!G21/1000</f>
        <v>0</v>
      </c>
      <c r="H15" s="69">
        <f>-БДДС!H21/1000</f>
        <v>0</v>
      </c>
      <c r="I15" s="69">
        <f>-БДДС!I21/1000</f>
        <v>0</v>
      </c>
      <c r="J15" s="69">
        <f>-БДДС!J30/1000</f>
        <v>0</v>
      </c>
      <c r="K15" s="69"/>
      <c r="L15" s="69"/>
      <c r="M15" s="69"/>
      <c r="N15" s="69"/>
      <c r="O15" s="69"/>
      <c r="P15" s="69"/>
      <c r="Q15" s="52">
        <f>SUM(B15:P15)</f>
        <v>-56700</v>
      </c>
      <c r="R15" s="46"/>
      <c r="S15" s="46"/>
      <c r="T15" s="46"/>
      <c r="U15" s="47"/>
      <c r="V15" s="48"/>
      <c r="W15" s="48"/>
      <c r="X15" s="46"/>
      <c r="Y15" s="49"/>
      <c r="Z15" s="47"/>
    </row>
    <row r="16" spans="1:26" ht="12.75" customHeight="1">
      <c r="A16" s="43"/>
      <c r="B16" s="44"/>
      <c r="C16" s="44"/>
      <c r="D16" s="44"/>
      <c r="E16" s="44"/>
      <c r="F16" s="44"/>
      <c r="G16" s="44"/>
      <c r="Q16" s="45">
        <f t="shared" ref="Q16:Q17" si="4">SUM(B16:P16)</f>
        <v>0</v>
      </c>
      <c r="R16" s="70"/>
      <c r="S16" s="58"/>
      <c r="T16" s="46"/>
      <c r="U16" s="47"/>
      <c r="V16" s="48"/>
      <c r="W16" s="48"/>
      <c r="X16" s="46"/>
      <c r="Y16" s="49"/>
      <c r="Z16" s="47"/>
    </row>
    <row r="17" spans="1:26" ht="15" hidden="1" customHeight="1">
      <c r="A17" s="43"/>
      <c r="B17" s="44"/>
      <c r="C17" s="44"/>
      <c r="D17" s="44"/>
      <c r="E17" s="44"/>
      <c r="F17" s="44"/>
      <c r="G17" s="44"/>
      <c r="Q17" s="45">
        <f t="shared" si="4"/>
        <v>0</v>
      </c>
      <c r="R17" s="46"/>
      <c r="S17" s="46"/>
      <c r="T17" s="46"/>
      <c r="U17" s="47"/>
      <c r="V17" s="48"/>
      <c r="W17" s="48"/>
      <c r="X17" s="46"/>
      <c r="Y17" s="49"/>
      <c r="Z17" s="47"/>
    </row>
    <row r="18" spans="1:26" ht="16.5" customHeight="1">
      <c r="A18" s="43"/>
      <c r="B18" s="44"/>
      <c r="C18" s="44"/>
      <c r="D18" s="44"/>
      <c r="E18" s="44"/>
      <c r="F18" s="44"/>
      <c r="G18" s="44"/>
      <c r="Q18" s="45"/>
      <c r="R18" s="53"/>
      <c r="S18" s="46"/>
      <c r="T18" s="46"/>
      <c r="U18" s="47"/>
      <c r="V18" s="48"/>
      <c r="W18" s="48"/>
      <c r="X18" s="46"/>
      <c r="Y18" s="49"/>
      <c r="Z18" s="47"/>
    </row>
    <row r="19" spans="1:26" ht="19.5" customHeight="1" thickBot="1">
      <c r="A19" s="71" t="s">
        <v>18</v>
      </c>
      <c r="B19" s="72">
        <f t="shared" ref="B19:P19" si="5">SUM(B11:B18)</f>
        <v>-200</v>
      </c>
      <c r="C19" s="72">
        <f t="shared" si="5"/>
        <v>-1500</v>
      </c>
      <c r="D19" s="72">
        <f t="shared" si="5"/>
        <v>-10000</v>
      </c>
      <c r="E19" s="72">
        <f t="shared" si="5"/>
        <v>-20000</v>
      </c>
      <c r="F19" s="72">
        <f t="shared" si="5"/>
        <v>-25000</v>
      </c>
      <c r="G19" s="72">
        <f t="shared" si="5"/>
        <v>4940</v>
      </c>
      <c r="H19" s="72">
        <f t="shared" si="5"/>
        <v>10030</v>
      </c>
      <c r="I19" s="72">
        <f t="shared" si="5"/>
        <v>10030</v>
      </c>
      <c r="J19" s="72">
        <f t="shared" si="5"/>
        <v>10030</v>
      </c>
      <c r="K19" s="72">
        <f t="shared" si="5"/>
        <v>10030</v>
      </c>
      <c r="L19" s="72">
        <f t="shared" si="5"/>
        <v>10030</v>
      </c>
      <c r="M19" s="72">
        <f t="shared" si="5"/>
        <v>10030</v>
      </c>
      <c r="N19" s="72">
        <f t="shared" si="5"/>
        <v>10030</v>
      </c>
      <c r="O19" s="72">
        <f t="shared" si="5"/>
        <v>10030</v>
      </c>
      <c r="P19" s="72">
        <f t="shared" si="5"/>
        <v>10030</v>
      </c>
      <c r="Q19" s="73">
        <f>SUM(B19:P19)</f>
        <v>38510</v>
      </c>
      <c r="R19" s="74"/>
      <c r="S19" s="75"/>
      <c r="T19" s="46"/>
      <c r="U19" s="47"/>
      <c r="V19" s="48"/>
      <c r="W19" s="48"/>
      <c r="X19" s="46"/>
      <c r="Y19" s="49"/>
      <c r="Z19" s="47"/>
    </row>
    <row r="20" spans="1:26" ht="14" thickTop="1">
      <c r="A20" s="76"/>
      <c r="B20" s="77"/>
      <c r="C20" s="77"/>
      <c r="D20" s="77"/>
      <c r="E20" s="77"/>
      <c r="F20" s="77"/>
      <c r="G20" s="77"/>
      <c r="Q20" s="45"/>
      <c r="T20" s="46"/>
      <c r="U20" s="47"/>
      <c r="V20" s="48"/>
      <c r="W20" s="48"/>
      <c r="X20" s="46"/>
      <c r="Y20" s="49"/>
      <c r="Z20" s="47"/>
    </row>
    <row r="21" spans="1:26" ht="14" thickBot="1">
      <c r="A21" s="78"/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T21" s="46"/>
      <c r="U21" s="47"/>
      <c r="V21" s="48"/>
      <c r="W21" s="48"/>
      <c r="X21" s="46"/>
      <c r="Y21" s="49"/>
      <c r="Z21" s="47"/>
    </row>
    <row r="22" spans="1:26" ht="7.5" hidden="1" customHeight="1" thickBot="1">
      <c r="A22" s="82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83"/>
      <c r="R22" s="84"/>
      <c r="T22" s="46"/>
      <c r="U22" s="47"/>
      <c r="V22" s="48"/>
      <c r="W22" s="48"/>
      <c r="X22" s="46"/>
      <c r="Y22" s="49"/>
      <c r="Z22" s="47"/>
    </row>
    <row r="23" spans="1:26" ht="14" hidden="1" thickBot="1">
      <c r="A23" s="43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85"/>
      <c r="T23" s="46"/>
      <c r="U23" s="47"/>
      <c r="V23" s="48"/>
      <c r="W23" s="48"/>
      <c r="X23" s="46"/>
      <c r="Y23" s="49"/>
      <c r="Z23" s="47"/>
    </row>
    <row r="24" spans="1:26" ht="14" hidden="1" thickBot="1">
      <c r="A24" s="43"/>
      <c r="B24" s="77"/>
      <c r="C24" s="77"/>
      <c r="D24" s="77"/>
      <c r="E24" s="77"/>
      <c r="F24" s="77"/>
      <c r="G24" s="77"/>
      <c r="Q24" s="83"/>
      <c r="T24" s="46"/>
      <c r="U24" s="47"/>
      <c r="V24" s="48"/>
      <c r="W24" s="48"/>
      <c r="X24" s="46"/>
      <c r="Y24" s="49"/>
      <c r="Z24" s="47"/>
    </row>
    <row r="25" spans="1:26" ht="14" hidden="1" thickBot="1">
      <c r="A25" s="78"/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1"/>
      <c r="T25" s="46"/>
      <c r="U25" s="47"/>
      <c r="V25" s="48"/>
      <c r="W25" s="48"/>
      <c r="X25" s="46"/>
      <c r="Y25" s="49"/>
      <c r="Z25" s="47"/>
    </row>
    <row r="26" spans="1:26" ht="14" hidden="1" thickBot="1">
      <c r="A26" s="43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83"/>
      <c r="T26" s="46"/>
      <c r="U26" s="47"/>
      <c r="V26" s="48"/>
      <c r="W26" s="48"/>
      <c r="X26" s="46"/>
      <c r="Y26" s="49"/>
      <c r="Z26" s="47"/>
    </row>
    <row r="27" spans="1:26" ht="14" hidden="1" thickBot="1">
      <c r="A27" s="43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85"/>
      <c r="T27" s="46"/>
      <c r="U27" s="47"/>
      <c r="V27" s="48"/>
      <c r="W27" s="48"/>
      <c r="X27" s="46"/>
      <c r="Y27" s="49"/>
      <c r="Z27" s="46"/>
    </row>
    <row r="28" spans="1:26" ht="14" hidden="1" thickBot="1">
      <c r="A28" s="55"/>
      <c r="B28" s="86"/>
      <c r="C28" s="86"/>
      <c r="D28" s="86"/>
      <c r="E28" s="86"/>
      <c r="F28" s="86"/>
      <c r="G28" s="86"/>
      <c r="H28" s="36"/>
      <c r="I28" s="36"/>
      <c r="J28" s="36"/>
      <c r="K28" s="36"/>
      <c r="L28" s="36"/>
      <c r="M28" s="36"/>
      <c r="N28" s="36"/>
      <c r="O28" s="36"/>
      <c r="P28" s="36"/>
      <c r="Q28" s="87"/>
      <c r="T28" s="46"/>
      <c r="U28" s="46"/>
      <c r="V28" s="46"/>
      <c r="W28" s="46"/>
      <c r="X28" s="46"/>
      <c r="Y28" s="46"/>
      <c r="Z28" s="47"/>
    </row>
    <row r="29" spans="1:26" ht="16" hidden="1" thickBot="1">
      <c r="A29" s="43"/>
      <c r="B29" s="77"/>
      <c r="C29" s="88"/>
      <c r="D29" s="88"/>
      <c r="E29" s="88"/>
      <c r="F29" s="88"/>
      <c r="G29" s="88"/>
      <c r="H29" s="46"/>
      <c r="I29" s="46"/>
      <c r="J29" s="46"/>
      <c r="K29" s="46"/>
      <c r="L29" s="46"/>
      <c r="M29" s="46"/>
      <c r="N29" s="46"/>
      <c r="O29" s="46"/>
      <c r="P29" s="46"/>
      <c r="Q29" s="89"/>
      <c r="T29" s="46"/>
      <c r="U29" s="46"/>
      <c r="V29" s="46"/>
      <c r="W29" s="46"/>
      <c r="X29" s="46"/>
      <c r="Y29" s="46"/>
      <c r="Z29" s="46"/>
    </row>
    <row r="30" spans="1:26" ht="13">
      <c r="A30" s="43"/>
      <c r="B30" s="77"/>
      <c r="C30" s="77"/>
      <c r="D30" s="77"/>
      <c r="E30" s="77"/>
      <c r="F30" s="77"/>
      <c r="G30" s="77"/>
      <c r="H30" s="46"/>
      <c r="I30" s="46"/>
      <c r="J30" s="46"/>
      <c r="K30" s="46"/>
      <c r="L30" s="46"/>
      <c r="M30" s="46"/>
      <c r="N30" s="46"/>
      <c r="O30" s="46"/>
      <c r="P30" s="46"/>
      <c r="Q30" s="90" t="s">
        <v>3</v>
      </c>
      <c r="T30" s="46"/>
      <c r="U30" s="46"/>
      <c r="V30" s="46"/>
      <c r="W30" s="46"/>
      <c r="X30" s="46"/>
      <c r="Y30" s="46"/>
      <c r="Z30" s="46"/>
    </row>
    <row r="31" spans="1:26" ht="14" thickBot="1">
      <c r="A31" s="76" t="s">
        <v>3</v>
      </c>
      <c r="B31" s="77"/>
      <c r="C31" s="77"/>
      <c r="D31" s="77"/>
      <c r="E31" s="77"/>
      <c r="F31" s="77"/>
      <c r="G31" s="77"/>
      <c r="H31" s="46"/>
      <c r="I31" s="46"/>
      <c r="J31" s="46"/>
      <c r="K31" s="46"/>
      <c r="L31" s="46"/>
      <c r="M31" s="46"/>
      <c r="N31" s="46"/>
      <c r="O31" s="46"/>
      <c r="P31" s="46"/>
      <c r="Q31" s="91">
        <f>IRR(B19:P19)</f>
        <v>8.6352014755610718E-2</v>
      </c>
    </row>
    <row r="32" spans="1:26" ht="13">
      <c r="A32" s="76" t="s">
        <v>20</v>
      </c>
      <c r="B32" s="92"/>
      <c r="C32" s="92"/>
      <c r="D32" s="92"/>
      <c r="E32" s="92"/>
      <c r="F32" s="92"/>
      <c r="G32" s="92"/>
      <c r="H32" s="93"/>
      <c r="I32" s="93"/>
      <c r="J32" s="93"/>
      <c r="K32" s="93"/>
      <c r="L32" s="93"/>
      <c r="M32" s="93"/>
      <c r="N32" s="93"/>
      <c r="O32" s="93"/>
      <c r="P32" s="93"/>
      <c r="Q32" s="94">
        <v>80</v>
      </c>
    </row>
    <row r="33" spans="1:17" ht="14" thickBot="1">
      <c r="A33" s="106" t="s">
        <v>21</v>
      </c>
      <c r="B33" s="92"/>
      <c r="C33" s="92"/>
      <c r="D33" s="92"/>
      <c r="E33" s="92"/>
      <c r="F33" s="92"/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4">
        <f>ROUND(Q32/12,1)</f>
        <v>6.7</v>
      </c>
    </row>
    <row r="34" spans="1:17" ht="15">
      <c r="A34" s="105" t="s">
        <v>4</v>
      </c>
      <c r="D34" s="95"/>
      <c r="Q34" s="103" t="s">
        <v>9</v>
      </c>
    </row>
    <row r="35" spans="1:17" ht="16" thickBot="1">
      <c r="Q35" s="104">
        <f>(Q11+Q15)/-Q15*100</f>
        <v>67.918871252204582</v>
      </c>
    </row>
    <row r="36" spans="1:17">
      <c r="D36" s="95"/>
    </row>
  </sheetData>
  <printOptions gridLines="1"/>
  <pageMargins left="0.34" right="0.25" top="0.74" bottom="0.53" header="0.28000000000000003" footer="0.25"/>
  <pageSetup paperSize="9" orientation="landscape" horizontalDpi="300" verticalDpi="300"/>
  <headerFooter alignWithMargins="0">
    <oddHeader>Страница &amp;P&amp;R&amp;F</oddHeader>
    <oddFooter>&amp;L&amp;6&amp;F   &amp;A   &amp;D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БДДС</vt:lpstr>
      <vt:lpstr>БДР</vt:lpstr>
      <vt:lpstr>Окупаемость и доходность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Малышева Элеонора</dc:creator>
  <cp:lastModifiedBy>Pavel Tsarapkin</cp:lastModifiedBy>
  <dcterms:created xsi:type="dcterms:W3CDTF">2018-05-07T11:32:30Z</dcterms:created>
  <dcterms:modified xsi:type="dcterms:W3CDTF">2018-08-03T12:59:08Z</dcterms:modified>
</cp:coreProperties>
</file>